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4880" windowHeight="7590"/>
  </bookViews>
  <sheets>
    <sheet name="ไตรมาส1" sheetId="1" r:id="rId1"/>
    <sheet name="เอกสารแนบท้าย" sheetId="2" r:id="rId2"/>
  </sheets>
  <definedNames>
    <definedName name="_xlnm.Print_Area" localSheetId="0">ไตรมาส1!$B$1:$I$624</definedName>
    <definedName name="_xlnm.Print_Titles" localSheetId="0">ไตรมาส1!$5:$5</definedName>
  </definedNames>
  <calcPr calcId="145621"/>
</workbook>
</file>

<file path=xl/calcChain.xml><?xml version="1.0" encoding="utf-8"?>
<calcChain xmlns="http://schemas.openxmlformats.org/spreadsheetml/2006/main">
  <c r="F418" i="1" l="1"/>
  <c r="F612" i="1"/>
  <c r="F404" i="1" l="1"/>
  <c r="F622" i="1" l="1"/>
  <c r="F620" i="1"/>
  <c r="F618" i="1"/>
  <c r="F616" i="1"/>
  <c r="F614" i="1"/>
  <c r="F610" i="1"/>
  <c r="F608" i="1"/>
  <c r="F606" i="1"/>
  <c r="F604" i="1"/>
  <c r="F602" i="1"/>
  <c r="F600" i="1"/>
  <c r="F598" i="1"/>
  <c r="F596" i="1"/>
  <c r="F594" i="1"/>
  <c r="F592" i="1"/>
  <c r="F590" i="1"/>
  <c r="F588" i="1"/>
  <c r="F586" i="1"/>
  <c r="F584" i="1"/>
  <c r="F582" i="1"/>
  <c r="F580" i="1"/>
  <c r="F578" i="1"/>
  <c r="F576" i="1"/>
  <c r="F574" i="1"/>
  <c r="F572" i="1"/>
  <c r="F570" i="1"/>
  <c r="F568" i="1"/>
  <c r="F566" i="1"/>
  <c r="F564" i="1"/>
  <c r="F562" i="1"/>
  <c r="F560" i="1"/>
  <c r="F558" i="1"/>
  <c r="F556" i="1"/>
  <c r="F554" i="1"/>
  <c r="F552" i="1"/>
  <c r="F550" i="1"/>
  <c r="F548" i="1"/>
  <c r="F546" i="1"/>
  <c r="F544" i="1"/>
  <c r="F542" i="1"/>
  <c r="F540" i="1"/>
  <c r="F538" i="1"/>
  <c r="F536" i="1"/>
  <c r="F534" i="1"/>
  <c r="F532" i="1"/>
  <c r="F530" i="1"/>
  <c r="F528" i="1"/>
  <c r="F526" i="1"/>
  <c r="F524" i="1"/>
  <c r="F522" i="1"/>
  <c r="F520" i="1"/>
  <c r="F518" i="1"/>
  <c r="F516" i="1"/>
  <c r="F514" i="1"/>
  <c r="F512" i="1"/>
  <c r="F510" i="1"/>
  <c r="F508" i="1"/>
  <c r="F506" i="1"/>
  <c r="F504" i="1"/>
  <c r="F502" i="1"/>
  <c r="F500" i="1"/>
  <c r="F498" i="1"/>
  <c r="F496" i="1"/>
  <c r="F494" i="1"/>
  <c r="F492" i="1"/>
  <c r="F490" i="1"/>
  <c r="F488" i="1"/>
  <c r="F486" i="1"/>
  <c r="F484" i="1"/>
  <c r="F482" i="1"/>
  <c r="F480" i="1"/>
  <c r="F478" i="1"/>
  <c r="F476" i="1"/>
  <c r="F474" i="1"/>
  <c r="F472" i="1"/>
  <c r="F470" i="1"/>
  <c r="F468" i="1"/>
  <c r="F466" i="1"/>
  <c r="F464" i="1"/>
  <c r="F462" i="1"/>
  <c r="F460" i="1"/>
  <c r="F458" i="1"/>
  <c r="F456" i="1"/>
  <c r="F454" i="1"/>
  <c r="F452" i="1"/>
  <c r="F450" i="1"/>
  <c r="F448" i="1"/>
  <c r="F446" i="1"/>
  <c r="F444" i="1"/>
  <c r="F442" i="1"/>
  <c r="F440" i="1"/>
  <c r="F438" i="1"/>
  <c r="F436" i="1"/>
  <c r="F434" i="1"/>
  <c r="F432" i="1"/>
  <c r="F430" i="1"/>
  <c r="F428" i="1"/>
  <c r="F426" i="1"/>
  <c r="F424" i="1"/>
  <c r="F422" i="1"/>
  <c r="F420" i="1"/>
  <c r="F416" i="1"/>
  <c r="F414" i="1"/>
  <c r="F412" i="1"/>
  <c r="F410" i="1"/>
  <c r="F408" i="1"/>
  <c r="F406" i="1"/>
  <c r="F402" i="1"/>
  <c r="F400" i="1"/>
  <c r="F398" i="1"/>
  <c r="F396" i="1"/>
  <c r="F394" i="1"/>
  <c r="F392" i="1"/>
  <c r="F390" i="1"/>
  <c r="F388" i="1"/>
  <c r="F386" i="1"/>
  <c r="F383" i="1"/>
  <c r="F381" i="1"/>
  <c r="F379" i="1"/>
  <c r="F377" i="1"/>
  <c r="F375" i="1"/>
  <c r="F373" i="1"/>
  <c r="F371" i="1"/>
  <c r="F369" i="1"/>
  <c r="F367" i="1"/>
  <c r="F365" i="1"/>
  <c r="F363" i="1"/>
  <c r="F361" i="1"/>
  <c r="F359" i="1"/>
  <c r="F355" i="1"/>
  <c r="F353" i="1"/>
  <c r="F351" i="1"/>
  <c r="F349" i="1"/>
  <c r="F347" i="1"/>
  <c r="F345" i="1"/>
  <c r="F343" i="1"/>
  <c r="F341" i="1"/>
  <c r="F339" i="1"/>
  <c r="F337" i="1"/>
  <c r="F335" i="1"/>
  <c r="F333" i="1"/>
  <c r="F331" i="1"/>
  <c r="F329" i="1"/>
  <c r="F327" i="1"/>
  <c r="F325" i="1"/>
  <c r="F323" i="1"/>
  <c r="F321" i="1"/>
  <c r="F319" i="1"/>
  <c r="F317" i="1"/>
  <c r="F315" i="1"/>
  <c r="F313" i="1"/>
  <c r="F311" i="1"/>
  <c r="F309" i="1"/>
  <c r="F307" i="1"/>
  <c r="F305" i="1"/>
  <c r="F303" i="1"/>
  <c r="F301" i="1"/>
  <c r="F299" i="1"/>
  <c r="F297" i="1"/>
  <c r="F295" i="1"/>
  <c r="F293" i="1"/>
  <c r="F291" i="1"/>
  <c r="F289" i="1"/>
  <c r="F287" i="1"/>
  <c r="F285" i="1"/>
  <c r="F283" i="1"/>
  <c r="F281" i="1"/>
  <c r="F279" i="1"/>
  <c r="F277" i="1"/>
  <c r="F275" i="1"/>
  <c r="F273" i="1"/>
  <c r="F271" i="1"/>
  <c r="F269" i="1"/>
  <c r="F267" i="1"/>
  <c r="F265" i="1"/>
  <c r="F263" i="1"/>
  <c r="F261" i="1"/>
  <c r="F259" i="1"/>
  <c r="F257" i="1"/>
  <c r="F255" i="1"/>
  <c r="F253" i="1"/>
  <c r="F251" i="1"/>
  <c r="F249" i="1"/>
  <c r="F247" i="1"/>
  <c r="F245" i="1"/>
  <c r="F243" i="1"/>
  <c r="F241" i="1"/>
  <c r="F239" i="1"/>
  <c r="F237" i="1"/>
  <c r="F235" i="1"/>
  <c r="F233" i="1"/>
  <c r="F231" i="1"/>
  <c r="F229" i="1"/>
  <c r="F227" i="1"/>
  <c r="F225" i="1"/>
  <c r="F223" i="1"/>
  <c r="F221" i="1"/>
  <c r="F219" i="1"/>
  <c r="F217" i="1"/>
  <c r="F215" i="1"/>
  <c r="F213" i="1"/>
  <c r="F211" i="1"/>
  <c r="F209" i="1"/>
  <c r="F205" i="1"/>
  <c r="F203" i="1"/>
  <c r="F201" i="1"/>
  <c r="F199" i="1"/>
  <c r="F197" i="1"/>
  <c r="F195" i="1"/>
  <c r="F193" i="1"/>
  <c r="F191" i="1"/>
  <c r="F189" i="1"/>
  <c r="F187" i="1"/>
  <c r="F185" i="1"/>
  <c r="F183" i="1"/>
  <c r="F181" i="1"/>
  <c r="F179" i="1"/>
  <c r="F177" i="1"/>
  <c r="F175" i="1"/>
  <c r="F173" i="1"/>
  <c r="F171" i="1"/>
  <c r="F169" i="1"/>
  <c r="F167" i="1"/>
  <c r="F165" i="1"/>
  <c r="F163" i="1"/>
  <c r="F161" i="1"/>
  <c r="F159" i="1"/>
  <c r="F157" i="1"/>
  <c r="F155" i="1"/>
  <c r="F153" i="1"/>
  <c r="F151" i="1"/>
  <c r="F149" i="1"/>
  <c r="F147" i="1"/>
  <c r="F145" i="1"/>
  <c r="F143" i="1"/>
  <c r="F141" i="1"/>
  <c r="F139" i="1"/>
  <c r="F137" i="1"/>
  <c r="F135" i="1"/>
  <c r="F133" i="1"/>
  <c r="F131" i="1"/>
  <c r="F129" i="1"/>
  <c r="F125" i="1"/>
  <c r="F123" i="1"/>
  <c r="F121" i="1"/>
  <c r="F119" i="1"/>
  <c r="F117" i="1"/>
  <c r="F115" i="1"/>
  <c r="F113" i="1"/>
  <c r="F111" i="1"/>
  <c r="F109" i="1"/>
  <c r="F107" i="1"/>
  <c r="F105" i="1"/>
  <c r="F103" i="1"/>
  <c r="F101" i="1"/>
  <c r="F99" i="1"/>
  <c r="F97" i="1"/>
  <c r="F95" i="1"/>
  <c r="F93" i="1"/>
  <c r="F91" i="1"/>
  <c r="F89" i="1"/>
  <c r="F87" i="1"/>
  <c r="F85" i="1"/>
  <c r="F83" i="1"/>
  <c r="F81" i="1"/>
  <c r="F79" i="1"/>
  <c r="F77" i="1"/>
  <c r="F75" i="1"/>
  <c r="F73" i="1"/>
  <c r="F71" i="1"/>
  <c r="F69" i="1"/>
  <c r="F67" i="1"/>
  <c r="F65" i="1"/>
  <c r="F63" i="1"/>
  <c r="F61" i="1"/>
  <c r="F59" i="1"/>
  <c r="F57" i="1"/>
  <c r="F55" i="1"/>
  <c r="F53" i="1"/>
  <c r="F51" i="1"/>
  <c r="F49" i="1"/>
  <c r="F47" i="1"/>
  <c r="F45" i="1"/>
  <c r="F43" i="1"/>
  <c r="F41" i="1"/>
  <c r="F39" i="1"/>
  <c r="F37" i="1"/>
  <c r="F35" i="1"/>
  <c r="F33" i="1"/>
  <c r="F31" i="1"/>
  <c r="F29" i="1"/>
  <c r="F27" i="1"/>
  <c r="F25" i="1"/>
  <c r="F23" i="1"/>
  <c r="F21" i="1"/>
  <c r="F19" i="1"/>
  <c r="F17" i="1"/>
  <c r="F15" i="1"/>
  <c r="F13" i="1"/>
  <c r="F11" i="1"/>
  <c r="F9" i="1"/>
  <c r="F7" i="1"/>
  <c r="J424" i="1" l="1"/>
  <c r="J622" i="1"/>
  <c r="J125" i="1"/>
</calcChain>
</file>

<file path=xl/sharedStrings.xml><?xml version="1.0" encoding="utf-8"?>
<sst xmlns="http://schemas.openxmlformats.org/spreadsheetml/2006/main" count="1482" uniqueCount="1076">
  <si>
    <t>(2)</t>
  </si>
  <si>
    <t>(3)</t>
  </si>
  <si>
    <t>(4)</t>
  </si>
  <si>
    <t>(5)</t>
  </si>
  <si>
    <t>(7)</t>
  </si>
  <si>
    <t xml:space="preserve">บริษัท เอส เค เอส อินเตอร์พาร์ท จำกัด </t>
  </si>
  <si>
    <t>บริษัท สยามโทแบคโค่แมชชีนส์ จำกัด</t>
  </si>
  <si>
    <t>บริษัท อินแฟคท์เซเว่น จำกัด</t>
  </si>
  <si>
    <t>บริษัท ยูไนเต็ดเพาเวอร์อีควิปเม้นท์ จำกัด</t>
  </si>
  <si>
    <t>บริษัท 168 อินเตอร์เนชั่นแนลเทรด จำกัด</t>
  </si>
  <si>
    <t>บริษัท พี.ประชุม  จำกัด</t>
  </si>
  <si>
    <t>บริษัท เอส เค เอส อินเตอร์พาร์ท จำกัด</t>
  </si>
  <si>
    <t xml:space="preserve">บริษัท เบนฟิฟท์ช จำกัด  </t>
  </si>
  <si>
    <t>บริษัท ไฮ ทอร์ค (2004) จำกัด</t>
  </si>
  <si>
    <t xml:space="preserve">บริษัท เบนฟิฟท์ช จำกัด </t>
  </si>
  <si>
    <t>บริษัท บีแทค อินดัสเตรียล ออโตเมชั่น จำกัด</t>
  </si>
  <si>
    <t>บริษัท เบนฟิฟท์ช จำกัด</t>
  </si>
  <si>
    <t>บริษัท เฟสโต้ จำกัด</t>
  </si>
  <si>
    <t xml:space="preserve">บริษัท เฟสโต้ จำกัด </t>
  </si>
  <si>
    <t xml:space="preserve">บริษัท ยูไนเต็ดเพาเวอร์อีควิปเม้นท์ จำกัด </t>
  </si>
  <si>
    <t xml:space="preserve">บริษัท ไฮ ทอร์ค (2004) จำกัด </t>
  </si>
  <si>
    <t xml:space="preserve">ห้างหุ้นส่วนจำกัด วี.อาร์.พี.อินเตอร์เทรด </t>
  </si>
  <si>
    <t>บริษัท ไทย-เจแปน แก๊ส จำกัด</t>
  </si>
  <si>
    <t>ห้างหุ้นส่วนจำกัด วี.อาร์.พี.อินเตอร์เทรด</t>
  </si>
  <si>
    <t xml:space="preserve">บริษัท ซี เอส. เฟล็กซิเบิ้ล แอนด์ ซัพพลาย </t>
  </si>
  <si>
    <t>เอ็นเทค ซิสเท็ม</t>
  </si>
  <si>
    <t xml:space="preserve">บริษัท ยูไนเต็ดเพาเวอร์อีควิปเม้นท์ จำกัด  </t>
  </si>
  <si>
    <t xml:space="preserve">บริษัท เอส เค เอส อินเตอร์พาร์ท จำกัด   </t>
  </si>
  <si>
    <t xml:space="preserve">บริษัท ซี เอส. เฟล็กซิเบิ้ล แอนด์ ซัพพลาย  </t>
  </si>
  <si>
    <t xml:space="preserve">บริษัท สยามโทแบคโค่แมชชีนส์ จำกัด    </t>
  </si>
  <si>
    <t>และรายการอื่นๆรวม 3 รายการ</t>
  </si>
  <si>
    <t>บริษัท เอควิป จำกัด</t>
  </si>
  <si>
    <t>ลำดับที่</t>
  </si>
  <si>
    <t>ชื่อผู้ประกอบการ</t>
  </si>
  <si>
    <t>รายการพัสดุที่จัดซื้อจัดจ้าง</t>
  </si>
  <si>
    <t>จำนวนเงินรวมที่จัดซื้อจัดจ้าง</t>
  </si>
  <si>
    <t>เอกสารอ้างอิง (6)</t>
  </si>
  <si>
    <t>เหตุผลสนับสนุน</t>
  </si>
  <si>
    <t>(1)</t>
  </si>
  <si>
    <t>วันที่</t>
  </si>
  <si>
    <t>เลขที่</t>
  </si>
  <si>
    <t>0105545121101</t>
  </si>
  <si>
    <t>0105548148108</t>
  </si>
  <si>
    <t>0105536091084</t>
  </si>
  <si>
    <t>0105542006174</t>
  </si>
  <si>
    <t>0105558181868</t>
  </si>
  <si>
    <t>บริษัท อ๊อซซาโก้ จำกัด</t>
  </si>
  <si>
    <t>บริษัท เลพเพิร์ด อินเตอร์เทรด จำกัด</t>
  </si>
  <si>
    <t xml:space="preserve">ห้างหุ้นส่วนจำกัด วี.อาร์.พี.อินเตอร์เทรด  </t>
  </si>
  <si>
    <t xml:space="preserve">เอ็นเทค ซิสเท็ม  </t>
  </si>
  <si>
    <t xml:space="preserve"> บริษัท ยูไนเต็ดเพาเวอร์อีควิปเม้นท์ จำกัด </t>
  </si>
  <si>
    <t xml:space="preserve">บริษัท ไฮ ทอร์ค (2004) จำกัด    </t>
  </si>
  <si>
    <t>ห้างหุ้นส่วนจำกัด แมส แอฟฟลูเอนท์</t>
  </si>
  <si>
    <t xml:space="preserve">บริษัท พี.ประชุม  จำกัด  </t>
  </si>
  <si>
    <t xml:space="preserve">บริษัท เอส เค เอส อินเตอร์พาร์ท จำกัด  </t>
  </si>
  <si>
    <t xml:space="preserve">บริษัท อินแฟคท์เซเว่น จำกัด     </t>
  </si>
  <si>
    <t xml:space="preserve">บริษัท เพ็ชรไฟน์ จำกัด </t>
  </si>
  <si>
    <t>และรายการอื่นๆรวม 5 รายการ</t>
  </si>
  <si>
    <t>และรายการอื่นๆรวม 2 รายการ</t>
  </si>
  <si>
    <t>และรายการอื่นๆรวม 6 รายการ</t>
  </si>
  <si>
    <t>และรายการอื่นๆรวม 4 รายการ</t>
  </si>
  <si>
    <t>และรายการอื่นๆรวม 3รายการ</t>
  </si>
  <si>
    <t>0105554066045</t>
  </si>
  <si>
    <t>0105551003531</t>
  </si>
  <si>
    <t>0103558001914</t>
  </si>
  <si>
    <t>0105541050170</t>
  </si>
  <si>
    <t>0105535105057</t>
  </si>
  <si>
    <t>0103534017420</t>
  </si>
  <si>
    <t>0105546093071</t>
  </si>
  <si>
    <t>0105540006321</t>
  </si>
  <si>
    <t>0105532071666</t>
  </si>
  <si>
    <t>0105525006986</t>
  </si>
  <si>
    <t>0105533008348</t>
  </si>
  <si>
    <t>0105534040598</t>
  </si>
  <si>
    <t>0115544007577</t>
  </si>
  <si>
    <t>0105533036945</t>
  </si>
  <si>
    <t>0215560007917</t>
  </si>
  <si>
    <t>รายละเอียดแนบท้ายประกาศผลผู้ชนะการจัดซื้อจัดจ้างหรือผู้ได้รับการคัดเลือก และสาระสำคัญของสัญญาหรือข้อตกลงเป็นหนังสือ</t>
  </si>
  <si>
    <t>การยาสูบแห่งประเทศไทย</t>
  </si>
  <si>
    <t>บริษัท อินเตอร์ เท็ค. เซอร์วิส จำกัด</t>
  </si>
  <si>
    <t xml:space="preserve">บริษัท ทูลเทค แอนด์ เดคคอร์ จำกัด   </t>
  </si>
  <si>
    <t xml:space="preserve">บริษัท 168 อินเตอร์เนชั่นแนลเทรด จำกัด  </t>
  </si>
  <si>
    <t xml:space="preserve">บริษัท เอ็นดี อิเลคทริค จำกัด </t>
  </si>
  <si>
    <t xml:space="preserve">บริษัท พี.ประชุม  จำกัด   </t>
  </si>
  <si>
    <t>ห้างหุ้นส่วนจำกัด พีแอนด์พี (2011)</t>
  </si>
  <si>
    <t xml:space="preserve">ห้างหุ้นส่วนจำกัด พีแอนด์พี (2011)  </t>
  </si>
  <si>
    <t xml:space="preserve">ห้างหุ้นส่วนจำกัด พีแอนด์พี (2011) </t>
  </si>
  <si>
    <t xml:space="preserve">ห้างหุ้นส่วนจำกัด แมส แอฟฟลูเอนท์ </t>
  </si>
  <si>
    <t xml:space="preserve">บริษัท ยูไนเต็ดเพาเวอร์อีควิปเม้นท์ จำกัด     </t>
  </si>
  <si>
    <t xml:space="preserve">บริษัท แอบโซลูท แพคเกจจิ้ง แอนด์ </t>
  </si>
  <si>
    <t xml:space="preserve">บริษัท เลพเพิร์ด อินเตอร์เทรด จำกัด </t>
  </si>
  <si>
    <t>0123554009121</t>
  </si>
  <si>
    <t>0135558020520</t>
  </si>
  <si>
    <t>0105534060921</t>
  </si>
  <si>
    <t xml:space="preserve">บริษัท ไฟฟ้าอุตสาหกรรม จำกัด  </t>
  </si>
  <si>
    <t xml:space="preserve">บริษัท คาร์บอน คิงส์ จำกัด </t>
  </si>
  <si>
    <t xml:space="preserve"> บริษัท เฟสโต้ จำกัด</t>
  </si>
  <si>
    <t xml:space="preserve">บริษัท อินแฟคท์เซเว่น จำกัด  </t>
  </si>
  <si>
    <t>บริษัท ไฟฟ้าอุตสาหกรรม จำกัด</t>
  </si>
  <si>
    <t>0105501000864</t>
  </si>
  <si>
    <t xml:space="preserve">บริษัท ริคเคอร์มานน์ (ไทยแลนด์) จำกัด </t>
  </si>
  <si>
    <t xml:space="preserve">บริษัท คัลลัส  จำกัด </t>
  </si>
  <si>
    <t>0105556052459</t>
  </si>
  <si>
    <t>บริษัท เจพีอาร์ ออโต้  เซ็นเตอร์ จำกัด</t>
  </si>
  <si>
    <t>0105551067890</t>
  </si>
  <si>
    <t>0107555000091</t>
  </si>
  <si>
    <t>เลขประจำตัวผู้เสียภาษี/เลขประจำตัวประชาชน</t>
  </si>
  <si>
    <t>จำกัด</t>
  </si>
  <si>
    <t xml:space="preserve"> </t>
  </si>
  <si>
    <t>บริษัท เอส เค เอส อินเตอร์พาร์ท</t>
  </si>
  <si>
    <t xml:space="preserve">จำกัด </t>
  </si>
  <si>
    <t>ซัพพลาย จำกัด</t>
  </si>
  <si>
    <t xml:space="preserve">บริษัท 168 อินเตอร์เนชั่นแนลเทรด </t>
  </si>
  <si>
    <t xml:space="preserve">บริษัท เอส เค เอส อินเตอร์พาร์ท </t>
  </si>
  <si>
    <t xml:space="preserve">บริษัท ยูไนเต็ดเพาเวอร์อีควิปเม้นท์ </t>
  </si>
  <si>
    <t xml:space="preserve">บริษัท 168 อินเตอร์เนชั่นแนลเทรด จำกัด </t>
  </si>
  <si>
    <t xml:space="preserve">บริษัท สไปแร็กซ์ ซาร์โก (ประเทศไทย) จำกัด </t>
  </si>
  <si>
    <t xml:space="preserve">บริษัท ฟิลเตอร์ วิชั่น จำกัด (มหาชน) </t>
  </si>
  <si>
    <t>บริษัท แสงไกรทรัพย์เจริญเซอร์วิส จำกัด</t>
  </si>
  <si>
    <t xml:space="preserve">ห้างหุ้นส่วนจำกัด พศิน เอ็นจิเนียริ่ง แอนด์ </t>
  </si>
  <si>
    <t xml:space="preserve">บริษัท โตเซน อินดัสเตรียล จำกัด </t>
  </si>
  <si>
    <t>0105559155062</t>
  </si>
  <si>
    <t>บริษัท เค เทรด เอ็นจิเนียริ่ง จำกัด</t>
  </si>
  <si>
    <t>ประจำไตรมาสที่ 1 (เดือนตุลาคม พ.ศ. 2564 ถึง เดือนธันวาคม พ.ศ. 2564)</t>
  </si>
  <si>
    <t>0115535001103</t>
  </si>
  <si>
    <t xml:space="preserve">บริษัท เอพีที กรุ๊ป จำกัด           </t>
  </si>
  <si>
    <t xml:space="preserve">COLLECTOR SHOE WAMPFLER 081002-2X1 PE   FOR 0811 16A L=48mm.                      </t>
  </si>
  <si>
    <t xml:space="preserve"> 210265A1</t>
  </si>
  <si>
    <t>'0135563005231</t>
  </si>
  <si>
    <t xml:space="preserve">บริษัท นอร์ดสัน (ประเทศไทย) จำกัด </t>
  </si>
  <si>
    <t xml:space="preserve">O RING,VITON, 1.125x1.313x.094         </t>
  </si>
  <si>
    <t>210265A2</t>
  </si>
  <si>
    <t>'0125543004205</t>
  </si>
  <si>
    <t>PROXIMITY SWITCH "PEPPERL+FUCHS" MODEL: NBB4-12GM50-E2-V1</t>
  </si>
  <si>
    <t xml:space="preserve"> 210265A3</t>
  </si>
  <si>
    <t>'0105526046655</t>
  </si>
  <si>
    <t xml:space="preserve">บริษัท เทคเนท จำกัด    </t>
  </si>
  <si>
    <t xml:space="preserve">CYLINDER "BIMBA" 122-DP              </t>
  </si>
  <si>
    <t>210265A4</t>
  </si>
  <si>
    <t>'0105554145271</t>
  </si>
  <si>
    <t xml:space="preserve">บริษัท เจ.เอ.โพลีเมอร์ แอนด์ </t>
  </si>
  <si>
    <t xml:space="preserve">ลูกล้อหุ้มPU SIZE 250 x 230 x 70 mm. พร้อมแกน  </t>
  </si>
  <si>
    <t>210265A5</t>
  </si>
  <si>
    <t>'105533034713</t>
  </si>
  <si>
    <t xml:space="preserve">บริษัท ที แอนด์ อาร์ อิเลคโทรนิคส์  </t>
  </si>
  <si>
    <t xml:space="preserve">ABSOLUTE ROTARY ENCODER TYPE CES65M       </t>
  </si>
  <si>
    <t>210265A6</t>
  </si>
  <si>
    <t xml:space="preserve">(ประเทศไทย) จำกัด    </t>
  </si>
  <si>
    <t>'0135562010746</t>
  </si>
  <si>
    <t xml:space="preserve">บริษัท กู๊ดสไมล์99 จำกัด   </t>
  </si>
  <si>
    <t xml:space="preserve">STORAGE TANK FILTER                   </t>
  </si>
  <si>
    <t>210265A7</t>
  </si>
  <si>
    <t>'0105536091084</t>
  </si>
  <si>
    <t xml:space="preserve">PLATE                                   </t>
  </si>
  <si>
    <t>210265A8</t>
  </si>
  <si>
    <t>'0125555009894</t>
  </si>
  <si>
    <t xml:space="preserve">บริษัท ดูรัม จำกัด </t>
  </si>
  <si>
    <t>SOFT START "DANFOSS" MCD202-030-T4-CV1  30KW 60A</t>
  </si>
  <si>
    <t xml:space="preserve"> 210265A9 </t>
  </si>
  <si>
    <t>'0105546093071</t>
  </si>
  <si>
    <t>MONOBLOCK PNEUMATIC ASSEMBLY SVP215 SMC    SPE - CFP10058 "DUAL USE-NLR"</t>
  </si>
  <si>
    <t>'0105501000864</t>
  </si>
  <si>
    <t>SIMATIC DP, ELECTRONICS MODULE FOR ET    200SP, F-DI 8x 24 V DC HF</t>
  </si>
  <si>
    <t>210265A11</t>
  </si>
  <si>
    <t>'0105524013113</t>
  </si>
  <si>
    <t xml:space="preserve">SCRAPER                </t>
  </si>
  <si>
    <t>210265A12</t>
  </si>
  <si>
    <t>'0105531010876</t>
  </si>
  <si>
    <t xml:space="preserve">บริษัท คอมโพแม็ก จำกัด </t>
  </si>
  <si>
    <t>MAGNETOSTRICTIVE LINEAR POSITION      SENSORS "BALLUFF" BTL7-E500-M0400-B- S115</t>
  </si>
  <si>
    <t xml:space="preserve"> 210265A13</t>
  </si>
  <si>
    <t xml:space="preserve">บริษัท พี.ประชุม  จำกัด     </t>
  </si>
  <si>
    <t xml:space="preserve">CHAIN LINK WITH SPRING CLIP        </t>
  </si>
  <si>
    <t xml:space="preserve">210265A14  </t>
  </si>
  <si>
    <t xml:space="preserve">BALL BEARING 628-2Z      </t>
  </si>
  <si>
    <t>'0105545092217</t>
  </si>
  <si>
    <t>บริษัท มาสเตอร์ แมคคาโทรนิคส์ จำกัด</t>
  </si>
  <si>
    <t>210265TRJ006</t>
  </si>
  <si>
    <t xml:space="preserve"> '0105536141332</t>
  </si>
  <si>
    <t xml:space="preserve">บริษัท ยูนิไทย กรุ๊ป จำกัด </t>
  </si>
  <si>
    <t xml:space="preserve">จ้างเหมาบำรุงรักษาเครื่องวัดความชื้น    MOISTURE METER จำนวน 4 ชุด  ก.ผลิตยาเส้นพอง ฝ.ผลิตด้านใบยา </t>
  </si>
  <si>
    <t xml:space="preserve">210265TRJ007 </t>
  </si>
  <si>
    <t xml:space="preserve"> อาคารB02    ยสท.อยุธยา</t>
  </si>
  <si>
    <t xml:space="preserve"> 2102651A001 </t>
  </si>
  <si>
    <t>ชิ้นส่วนเครื่อง PROTOS VE 90  ที่ก.จัดหาและคลังพัสดุอะไหล่  ฝ.วิศวกรรมฯ ยสท.อยุธยา</t>
  </si>
  <si>
    <t>'0193558000446</t>
  </si>
  <si>
    <t>"PHOENIX" SENSOR/ACTUATOR CABLE-SAC-5P-  10, 0-PUR/M12FS SH-1500758</t>
  </si>
  <si>
    <t>210265A16</t>
  </si>
  <si>
    <t>'0105534040598</t>
  </si>
  <si>
    <t>"ESBELT" PVC. CONVEYOR BELT TYPE CLINA   12 UF SIZE W: 200 mm. x L: 4,910 mm.</t>
  </si>
  <si>
    <t xml:space="preserve">210265A17  </t>
  </si>
  <si>
    <t xml:space="preserve">บริษัท พี.ประชุม  จำกัด    </t>
  </si>
  <si>
    <t xml:space="preserve">FLAT BELT              </t>
  </si>
  <si>
    <t xml:space="preserve"> 210265A18 </t>
  </si>
  <si>
    <t xml:space="preserve">ARGON GAS -IND GRADE (PURITY 99.99%) ขนาดบรรจุ 7 ลูกบาศก์เมตร   </t>
  </si>
  <si>
    <t>210265TRJ008</t>
  </si>
  <si>
    <t>ว่าจ้างพร้อมอุปกรณ์ในการขึ้นรูป  ชิ้นงานชุดรับกล่อง C-48 ชิ้นส่วนเครื่อง  TH-FP02(LINEAR ROBOT&amp;LIFTER)</t>
  </si>
  <si>
    <t>210265TRJ010</t>
  </si>
  <si>
    <t>(FOU102.00) ที่ก.ผลิตยาเส้น ฝ.ผลิตด้านใบยา    ยสท.อยุธยา</t>
  </si>
  <si>
    <t>'0105558181868</t>
  </si>
  <si>
    <t xml:space="preserve">BELT E 8/2 UO/UO Transp. W: 100 mm. x  L: 1,950 mm.Endless Z Splice. </t>
  </si>
  <si>
    <t>210265A19</t>
  </si>
  <si>
    <t xml:space="preserve">SAFETY RELAY PNOZ s2 C 24VDC 3 n/o 1   n/c "PILZ"  </t>
  </si>
  <si>
    <t>210265A20</t>
  </si>
  <si>
    <t>105551003531</t>
  </si>
  <si>
    <t>MEANWELL LRS-200-12 LOW PROFILE 12V    200W 17A</t>
  </si>
  <si>
    <t>210265A21</t>
  </si>
  <si>
    <t>'0105545121101</t>
  </si>
  <si>
    <t xml:space="preserve"> SEAL NAK TC 30x44x10 ซีลขอบยาง 2 ชั้นมีสปริง กันน้ำมัน</t>
  </si>
  <si>
    <t xml:space="preserve">"SIEMENS" SITRANS FC MASS 6000          </t>
  </si>
  <si>
    <t>210265A22</t>
  </si>
  <si>
    <t>ว่าจ้างพร้อมอุปกรณ์ในการหล่อยาง NBR ทรงกรวยสีดำ ขนาด 56x115 มม.ความแข็งยาง 60A</t>
  </si>
  <si>
    <t>2102651A003</t>
  </si>
  <si>
    <t>ชิ้นส่วนชุด ROLLER ของเครื่อง SASIB   LINK-UP ยสท.อยุธยา</t>
  </si>
  <si>
    <t xml:space="preserve">BEARING SKF 607-2RSH                   </t>
  </si>
  <si>
    <t xml:space="preserve"> 2102651A004 </t>
  </si>
  <si>
    <t xml:space="preserve"> จำกัด   </t>
  </si>
  <si>
    <t>บริษัท นอร์ดสัน (ประเทศไทย) จำกัด</t>
  </si>
  <si>
    <t xml:space="preserve">ว่าจ้างพร้อมอุปกรณ์ในการซ่อมชุด PUMP หม้อกาว HOTMELT S/N : SA01K01507   เครื่องบรรจุซอง </t>
  </si>
  <si>
    <t xml:space="preserve"> 210265PRJ002</t>
  </si>
  <si>
    <t>ALFA RAM NO.20 ที่ก.มวนและบรรจุ ฝ.ผลิตภัณฑ์สำเร็จรูป ยสท.อยุธยา และรายการอื่นๆรวม 2 รายการ</t>
  </si>
  <si>
    <t xml:space="preserve">บริษัท เลพเพิร์ด อินเตอร์เทรด จำกัด   </t>
  </si>
  <si>
    <t>"ESBELT"PVC. CONVEYOR BELT TYPE CLINA 21 CF SIZE W 1,000 MM.xL 21,000 MM.</t>
  </si>
  <si>
    <t xml:space="preserve">210265TRJ011 </t>
  </si>
  <si>
    <t>'0105554066045</t>
  </si>
  <si>
    <t xml:space="preserve">บริษัท ซี เอส. เฟล็กซิเบิ้ล แอนด์ </t>
  </si>
  <si>
    <t>ว่าจ้างพร้อมอุปกรณ์ในการขึ้นรูป ชิ้นงาน PLATE ชิ้นส่วนของเครื่อง ALFA RAM No.28</t>
  </si>
  <si>
    <t>210265PRJ003</t>
  </si>
  <si>
    <t>ของกองมวนฯ ฝ่ายผลิตภัณฑ์สำเร็จรูป ยสท.อยุธยา และรายการอื่นๆรวม 2 รายการ</t>
  </si>
  <si>
    <t xml:space="preserve">ห้างหุ้นส่วนจำกัด พีแอนด์พี (2011)      </t>
  </si>
  <si>
    <t>ว่าจ้างพร้อมอุปกรณ์ในการตัดเลเซอร์ ขึ้นรูปชิ้นงานชิ้นส่วนชุด FAN WHEEL (WHEEL)รหัส 130200164 ของ</t>
  </si>
  <si>
    <t>2102651A002</t>
  </si>
  <si>
    <t>0125564021532</t>
  </si>
  <si>
    <t>บริษัท คาฟห์ เอ็นจิเนียร์ริ่งแอนด์</t>
  </si>
  <si>
    <t xml:space="preserve">GUIDE MODEL U6 KTC 101                 </t>
  </si>
  <si>
    <t>210265A23</t>
  </si>
  <si>
    <t xml:space="preserve">เทรดดิ้ง </t>
  </si>
  <si>
    <t xml:space="preserve"> 0135561026941</t>
  </si>
  <si>
    <t xml:space="preserve">บริษัท เอส.เค.เอส ดีไซน์ แอนด์ </t>
  </si>
  <si>
    <t xml:space="preserve">BOTTOM KNIFE BAR MATERIAL: SKD11 55-58  HRC   </t>
  </si>
  <si>
    <t>210265A24</t>
  </si>
  <si>
    <t>โปรดักชั่นเอ็นจิเนียริ่ง จำกัด</t>
  </si>
  <si>
    <t>'0103534017420</t>
  </si>
  <si>
    <t>ห้างหุ้นส่วนจำกัด วี.อาร์.พี.</t>
  </si>
  <si>
    <t xml:space="preserve">SWITCH DISCONNECTOR : OT100F3 "ABB"  </t>
  </si>
  <si>
    <t>210265RR003</t>
  </si>
  <si>
    <t>อินเตอร์เทรด</t>
  </si>
  <si>
    <t xml:space="preserve">เทอร์มินอลมอเตอร์ Y160-180              </t>
  </si>
  <si>
    <t>210265RR004</t>
  </si>
  <si>
    <t xml:space="preserve">พัดลมดูดอากาศ MODEL FP-108EX-S1-B 220/240V 0.22A 38W "COMMONWELTH"                             </t>
  </si>
  <si>
    <t xml:space="preserve"> 210265PRJ004</t>
  </si>
  <si>
    <t xml:space="preserve">ว่าจ้างพร้อมอุปกรณ์ในการหล่อยาง ยูริเทนสีแดงขนาด 32x14 MM. ความแข็ง 80A ชิ้นส่วนชุด Roller Assy </t>
  </si>
  <si>
    <t>2102651A005</t>
  </si>
  <si>
    <t>รหัส 130207916 ของเครื่อง ALFA และรายการอื่นๆรวม 3 รายการ</t>
  </si>
  <si>
    <t>'0105548148108</t>
  </si>
  <si>
    <t xml:space="preserve">บริษัท เบนฟิฟท์ช จำกัด                                              </t>
  </si>
  <si>
    <t xml:space="preserve">ผ้าทรายตราล้อบิน NO.2    และรายการอื่นๆรวม 10 รายการ          </t>
  </si>
  <si>
    <t>2102651A006</t>
  </si>
  <si>
    <t>หลอดนีออน TL5 28W/865 แสงสีขาว   "PHILIPS"</t>
  </si>
  <si>
    <t xml:space="preserve"> 210265BT001</t>
  </si>
  <si>
    <t>'0123554009121</t>
  </si>
  <si>
    <t xml:space="preserve"> ห้างหุ้นส่วนจำกัด พีแอนด์พี (2011)</t>
  </si>
  <si>
    <t>ว่าจ้างพร้อมอุปกรณ์ในการขึ้นรูป      ชิ้นงานและหล่อยาง ROLLER   ชุดป้อนใยก้นกรอง ชิ้นส่วนเครื่องมวน</t>
  </si>
  <si>
    <t>210265PRJ005</t>
  </si>
  <si>
    <t>ก้นกรอง AIGER RMS NO.11ที่ก.ผลิตก้นกรอง ฝ.ผลิตภัณฑณ์สำเร็จรูป   ยสท.อยุธยา</t>
  </si>
  <si>
    <t xml:space="preserve"> บริษัท เอควิป จำกัด </t>
  </si>
  <si>
    <t xml:space="preserve">BEARING SKF HK 0810 </t>
  </si>
  <si>
    <t xml:space="preserve">210265PRJ006 </t>
  </si>
  <si>
    <t xml:space="preserve">และรายการอื่นๆรวม 4 รายการ                             </t>
  </si>
  <si>
    <t xml:space="preserve">SEAL AMD TC 45x80x10x VITON    และรายการอื่นๆรวม 5 รายการ        </t>
  </si>
  <si>
    <t>210265PRJ007</t>
  </si>
  <si>
    <t>TIMING BELT TYPE POWER GRIP HTD 1400-   14M W 40 MM."GATES"</t>
  </si>
  <si>
    <t xml:space="preserve">  210265PRJ008 </t>
  </si>
  <si>
    <t>และรายการอื่นๆรวม  3 รายการ</t>
  </si>
  <si>
    <t xml:space="preserve">บริษัท ฟิลเตอร์ วิชั่น จำกัด (มหาชน)      </t>
  </si>
  <si>
    <t>EVERPURE Carbon Block 0.5 Micron Model   : 4FC (P/N : 969221)</t>
  </si>
  <si>
    <t>210265R001</t>
  </si>
  <si>
    <t>'0105559155062</t>
  </si>
  <si>
    <t xml:space="preserve">เครื่องกรองน้ำ 5 ขั้นตอน "UNI-PURE"     </t>
  </si>
  <si>
    <t xml:space="preserve">210265R002 </t>
  </si>
  <si>
    <t xml:space="preserve">แบตเตอรี่ LP12-7.5 (12V7.5Ah) "LEOCH"  </t>
  </si>
  <si>
    <t>210265R003</t>
  </si>
  <si>
    <t>บริษัท ฟิลเตอร์ วิชั่น จำกัด</t>
  </si>
  <si>
    <t xml:space="preserve">210265R004  </t>
  </si>
  <si>
    <t xml:space="preserve"> (มหาชน)      </t>
  </si>
  <si>
    <t xml:space="preserve">หลอดนีออน TL5 28W/865 แสงสีขาว    "PHILIPS"      </t>
  </si>
  <si>
    <t>210265T001</t>
  </si>
  <si>
    <t>'0105542006174</t>
  </si>
  <si>
    <t xml:space="preserve">ก๊อกซิงค์อ่างล้างจาน รุ่น K-935    "SWEETHOME"    </t>
  </si>
  <si>
    <t>210265T002</t>
  </si>
  <si>
    <t xml:space="preserve">บริษัท เค เทรด เอ็นจิเนียริ่ง จำกัด </t>
  </si>
  <si>
    <t xml:space="preserve">แหวนแบนสแตนเลส SUS304 ขนาด M6 </t>
  </si>
  <si>
    <t xml:space="preserve">210265TRJ012 </t>
  </si>
  <si>
    <t xml:space="preserve">BEARING SKF 22208 E </t>
  </si>
  <si>
    <t>210265TRJ013</t>
  </si>
  <si>
    <t xml:space="preserve">เพลากลมตัน S45C ขนาด D.55MM.x3200MM.    </t>
  </si>
  <si>
    <t>210265TRJ014</t>
  </si>
  <si>
    <t>บริษัท แพลนเนท ที แอนด์ เอส</t>
  </si>
  <si>
    <t>CYLINDRICAL PHOTOELECTRIC SENSOR V12-2   "SICK" VT12T-2P430</t>
  </si>
  <si>
    <t xml:space="preserve"> 210265A25</t>
  </si>
  <si>
    <t xml:space="preserve">จำกัด        </t>
  </si>
  <si>
    <t xml:space="preserve">และรายการอื่นๆรวม 2 รายการ                                </t>
  </si>
  <si>
    <t xml:space="preserve">BEARING ASAHI UK 212   </t>
  </si>
  <si>
    <t>210265TRJ015</t>
  </si>
  <si>
    <t xml:space="preserve">CHAIN LINK WITH SPRING CLIP </t>
  </si>
  <si>
    <t xml:space="preserve"> 210265A26</t>
  </si>
  <si>
    <t>0103533003301</t>
  </si>
  <si>
    <t xml:space="preserve"> ห้างหุ้นส่วนจำกัด เอส.เค.เค. แมชชี</t>
  </si>
  <si>
    <t xml:space="preserve"> PHOTOELECTRIC SWITCH "OMRON" E3JM-   DS70M4T-G</t>
  </si>
  <si>
    <t xml:space="preserve"> บริษัท เอพีที กรุ๊ป จำกัด   </t>
  </si>
  <si>
    <t>CARBON VANE Size 4x47x85 mm. Grade  B525/F</t>
  </si>
  <si>
    <t>210265A28</t>
  </si>
  <si>
    <t>195561001689</t>
  </si>
  <si>
    <t xml:space="preserve">"KLOCKNER MOELLER" POWER SUPPLY UNIT  MODEL: EBE241.1                                   </t>
  </si>
  <si>
    <t>210265A29</t>
  </si>
  <si>
    <t>0105555135806</t>
  </si>
  <si>
    <t xml:space="preserve">บริษัท เอสซีเอ็ม อลีอันซ์ จำกัด       </t>
  </si>
  <si>
    <t xml:space="preserve"> INDUCTIVE SENSOR "IFM" IS5035 IS-3002-   BPKG/AS                                  </t>
  </si>
  <si>
    <t xml:space="preserve">SEAMLESS BELT W: 35 mm.x L: 1,035 mm.  (ไม่มีรอยต่อ)                            </t>
  </si>
  <si>
    <t xml:space="preserve">บริษัท ริคเคอร์มานน์ (ไทยแลนด์) จำกัด     </t>
  </si>
  <si>
    <t xml:space="preserve">SIMATIC HMI KTP900F MOBILE, 9.0"                          </t>
  </si>
  <si>
    <t>210265A32</t>
  </si>
  <si>
    <t xml:space="preserve"> บริษัท เค เทรด เอ็นจิเนียริ่ง จำกัด   </t>
  </si>
  <si>
    <t xml:space="preserve">PP-32 AIR COMPRESSOR 3 สูบ พร้อมมอเตอร์  148L,AC220V,2HP "PUMA" </t>
  </si>
  <si>
    <t xml:space="preserve">และรายการอื่นๆรวม 1 รายการ       </t>
  </si>
  <si>
    <t xml:space="preserve">บอลวาล์วทองเหลือง ขนาด 2" </t>
  </si>
  <si>
    <t>210265PRJ009</t>
  </si>
  <si>
    <t xml:space="preserve">และรายการอื่นๆรวม 25 รายการ       </t>
  </si>
  <si>
    <t xml:space="preserve">มอเตอร์ FASCO MOD 7456 JVA-A 12S </t>
  </si>
  <si>
    <t>210265D001</t>
  </si>
  <si>
    <t>สวิตช์ทางเดียว 2 สาย M9001 "BTICINO"</t>
  </si>
  <si>
    <t>210265BT002</t>
  </si>
  <si>
    <t xml:space="preserve">และรายการอื่นๆรวม 2 รายการ       </t>
  </si>
  <si>
    <t xml:space="preserve">หล่อยาง ยูริเทนสีแดง ขนาด 28x8 มม. ความแข็ง 80A  </t>
  </si>
  <si>
    <t xml:space="preserve">แมกเนติก AF116-30-11 100-250VAC/DC "ABB"  </t>
  </si>
  <si>
    <t>210265PRJ011</t>
  </si>
  <si>
    <t xml:space="preserve"> 0105545121101</t>
  </si>
  <si>
    <t xml:space="preserve">SEAL AMD TC 40x55x7 VITON </t>
  </si>
  <si>
    <t>210265PRJ012</t>
  </si>
  <si>
    <t>ว่าจ้างพร้อมอุปกรณ์ในการหล่อยาง   ลูกล้อยูริเทน ขนาด 250x230x70 มม.  ความแข็ง 90A</t>
  </si>
  <si>
    <t>210265R006</t>
  </si>
  <si>
    <t>ชิ้นส่วนของรถลำเลียงแป้นวางหีบบุหรี่  (SHUTTLE CAR) ยสท.อยุธยา</t>
  </si>
  <si>
    <t xml:space="preserve">คอนเนตเตอร์ท่อบางกันน้ำ ขนาด 1/2" SED-  ECR-01 "SEC" </t>
  </si>
  <si>
    <t xml:space="preserve">210265T003  </t>
  </si>
  <si>
    <t xml:space="preserve">และรายการอื่นๆรวม 14 รายการ       </t>
  </si>
  <si>
    <t xml:space="preserve">บริษัท เลพเพิร์ด อินเตอร์เทรด จำกัด     </t>
  </si>
  <si>
    <t xml:space="preserve"> "ESBELT" PVC. CONVEYOR BELT TYPE CLINA   21 CF SIZE W: 800 mm. x L: 72,000 mm.</t>
  </si>
  <si>
    <t>210265A33</t>
  </si>
  <si>
    <t xml:space="preserve">บริษัท คัลลัส  จำกัด             </t>
  </si>
  <si>
    <t xml:space="preserve"> INTEGRATOR       </t>
  </si>
  <si>
    <t xml:space="preserve">210265A34 </t>
  </si>
  <si>
    <t xml:space="preserve">ว่าจ้างพร้อมอุปกรณ์ในการซ่อม ตู้ชาร์จรถยกไฟฟ้า เบอร์ 10 ที่ ก.คลังสินค้า ฝ่ายจัดหาและรักษาพัสดุ  </t>
  </si>
  <si>
    <t>210265R005</t>
  </si>
  <si>
    <t>ยสท.อยุธยา</t>
  </si>
  <si>
    <t xml:space="preserve">บริษัท คัลลัส  จำกัด  </t>
  </si>
  <si>
    <t xml:space="preserve">SHAFT </t>
  </si>
  <si>
    <t xml:space="preserve">210265A36 </t>
  </si>
  <si>
    <t xml:space="preserve">และรายการอื่นๆรวม 3 รายการ       </t>
  </si>
  <si>
    <t xml:space="preserve"> บริษัท สยามโทแบคโค่แมชชีนส์ จำกัด</t>
  </si>
  <si>
    <t>PUSHER</t>
  </si>
  <si>
    <t>210265A37</t>
  </si>
  <si>
    <t>BUFFER MODULE "FESTO" DGC-25-:BG1 RECHTS</t>
  </si>
  <si>
    <t xml:space="preserve">210265A38   </t>
  </si>
  <si>
    <t xml:space="preserve">และรายการอื่นๆรวม 7 รายการ       </t>
  </si>
  <si>
    <t>AIR CYLINDER BORE 40 mm. STROKE 300 mm. MODEL : RA/802040/M/300</t>
  </si>
  <si>
    <t xml:space="preserve">210265A39 </t>
  </si>
  <si>
    <t xml:space="preserve">ห้างหุ้นส่วนจำกัด พีแอนด์พี (2011)        </t>
  </si>
  <si>
    <t xml:space="preserve">SIZE DIA 50x245 MM.(GRINDING) </t>
  </si>
  <si>
    <t xml:space="preserve">210265PRJ013 </t>
  </si>
  <si>
    <t xml:space="preserve">ว่าจ้างพร้อมอุปกรณ์ในการขึ้นรูป ชิ้นงาน SCRAPPER สำหรับ TRIPPING DRUM ชิ้นส่วนเครื่องมวนบุหรี่ </t>
  </si>
  <si>
    <t>210265PRJ014</t>
  </si>
  <si>
    <t>PROTOS 90 E NO.1 ที่ก.มวนฯ ฝ.ผลิตภัณฑ์สำเร็จรูปอาคาร B02 ยสท.อยุธยา</t>
  </si>
  <si>
    <t xml:space="preserve">"SIEMENS" CPU MODEL : 6ES5-945-7UA13  </t>
  </si>
  <si>
    <t>210265PRJ015</t>
  </si>
  <si>
    <t xml:space="preserve">บริษัท เลพเพิร์ด อินเตอร์เทรด จำกัด  </t>
  </si>
  <si>
    <t>"ESBELT" PVC.CONVEYOR BELT TYPE CLINA    13 FF SIZE W 997 MM. x L 1,920 MM.</t>
  </si>
  <si>
    <t xml:space="preserve"> 210265PRJ016</t>
  </si>
  <si>
    <t>BEARING SKF 7015 CD/P4A DBA</t>
  </si>
  <si>
    <t>210265PRJ017</t>
  </si>
  <si>
    <t xml:space="preserve">BEARING SKF 625-2Z  </t>
  </si>
  <si>
    <t>210265PRJ018</t>
  </si>
  <si>
    <t xml:space="preserve">BEARING SKF 6006-2RS1  </t>
  </si>
  <si>
    <t xml:space="preserve"> 210265PRJ019</t>
  </si>
  <si>
    <t xml:space="preserve"> 2138530 000 03 EN8420 - MOTOR CONTROL  UNIT MCU24  </t>
  </si>
  <si>
    <t xml:space="preserve"> 0105524013113</t>
  </si>
  <si>
    <t xml:space="preserve"> บริษัท พี.ประชุม  จำกัด          </t>
  </si>
  <si>
    <t xml:space="preserve">3809579-000-00 EN5130 DISPLAY ROTARY   SPEED </t>
  </si>
  <si>
    <t>210265PRJ021</t>
  </si>
  <si>
    <t xml:space="preserve"> บริษัท เบนฟิฟท์ช จำกัด </t>
  </si>
  <si>
    <t>เหล็กสแตนเลสแท่งสี่เหลี่ยม ขนาด 1/2" x  6 เมตร</t>
  </si>
  <si>
    <t xml:space="preserve">210265PRJ022 </t>
  </si>
  <si>
    <t xml:space="preserve">ห้างหุ้นส่วนจำกัด พีแอนด์พี (2011)   </t>
  </si>
  <si>
    <t xml:space="preserve">ว่าจ้างพร้อมอุปกรณ์ในการซ่อม    ชุดรับกล่อง C-48 ชิ้นส่วนเครื่อง TH-  FP02 (LINEAR ROBOT &amp; LIFTER) </t>
  </si>
  <si>
    <t>210265TRJ009</t>
  </si>
  <si>
    <t xml:space="preserve"> (FOU 102.00)  ของก.ผลิตยาเส้น ฝ.ผลิตด้านใบยา   ยสท.อยุธยา</t>
  </si>
  <si>
    <t>สกรูหัวเตเปอร์เหล็กชุบ M6x35</t>
  </si>
  <si>
    <t>210265PRJ024</t>
  </si>
  <si>
    <t xml:space="preserve">และรายการอื่นๆรวม 8 รายการ       </t>
  </si>
  <si>
    <t>195557001599</t>
  </si>
  <si>
    <t xml:space="preserve">บริษัท ช. เอื้อศิริ เทคโนโลยี จำกัด  </t>
  </si>
  <si>
    <t>SLIDING FORK FOR RGV</t>
  </si>
  <si>
    <t>210265A40</t>
  </si>
  <si>
    <t xml:space="preserve"> บริษัท 168 อินเตอร์เนชั่นแนลเทรด จำกัด</t>
  </si>
  <si>
    <t xml:space="preserve">TOOTHBELT 124 L 075 BRECOFLEX     </t>
  </si>
  <si>
    <t>210265A41</t>
  </si>
  <si>
    <t>0103546014111</t>
  </si>
  <si>
    <t xml:space="preserve"> บริษัท เจพีอาร์ ออโต้  เซ็นเตอร์ จำกัด  </t>
  </si>
  <si>
    <t xml:space="preserve">U CUP VT0075 SIZE : 57 x 48 x 6 mm. </t>
  </si>
  <si>
    <t>210265A42</t>
  </si>
  <si>
    <t xml:space="preserve"> 0115535001103</t>
  </si>
  <si>
    <t>บริษัท เอพีที กรุ๊ป จำกัด</t>
  </si>
  <si>
    <t xml:space="preserve"> HAND PUMP HAWE HD 13 AS-K 0,35 </t>
  </si>
  <si>
    <t>210265A43</t>
  </si>
  <si>
    <t xml:space="preserve"> COMPACT CYLINDER "FESTO" AEVC-32-5-I-P  </t>
  </si>
  <si>
    <t>210265A44</t>
  </si>
  <si>
    <t xml:space="preserve"> 0105557065791</t>
  </si>
  <si>
    <t xml:space="preserve">บริษัท อินเตอร์ พรีไซซ์ จำกัด   </t>
  </si>
  <si>
    <t xml:space="preserve"> LC-F60X-200 C3 10e : -LOAD CELL MADE OF  STAINLESS STEEL, CAPACITY 200KG., SCAIME</t>
  </si>
  <si>
    <t>210265A45</t>
  </si>
  <si>
    <t xml:space="preserve">และรายการอื่นๆรวม 5 รายการ       </t>
  </si>
  <si>
    <t>0105541007151</t>
  </si>
  <si>
    <t xml:space="preserve"> บริษัท คีย์เอ็นซ์ (ไทยแลนด์) จำกัด  </t>
  </si>
  <si>
    <t xml:space="preserve"> FIBER OPTIC SENSOR / (AMPLIFIER UNIT)  KEYENCE FS-N11P  KEYENCE FS-N11P</t>
  </si>
  <si>
    <t>210265A46</t>
  </si>
  <si>
    <t xml:space="preserve"> 0105553019876</t>
  </si>
  <si>
    <t xml:space="preserve">LAMP SOURCE   </t>
  </si>
  <si>
    <t>210265A47</t>
  </si>
  <si>
    <t>ออโตเมชั่น  จำกัด</t>
  </si>
  <si>
    <t>0145564000381</t>
  </si>
  <si>
    <t>บริษัท พาวเวอร์แอร์ เซอร์วิส จำกัด</t>
  </si>
  <si>
    <t>ว่าจ้างพร้อมอุปกรณ์ในการทำความสะอาด เครื่องปรับอากาศ จำนวน 8 ชุด และพัดลมระบายอากาศ</t>
  </si>
  <si>
    <t>210265D002</t>
  </si>
  <si>
    <t>บริเวณกองพัฒนาระบบวิศวกรรม1ฝ่ายวิศวกรรมและพัฒนา อาคาร B08 ยสท.อยุธยา</t>
  </si>
  <si>
    <t xml:space="preserve"> U.306A140 3-LEG OUTSIDE PULLER FACOM </t>
  </si>
  <si>
    <t>210265P001</t>
  </si>
  <si>
    <t xml:space="preserve"> คีมล็อคปากตรง 10" #430/3A "UNIOR" </t>
  </si>
  <si>
    <t>210265P002</t>
  </si>
  <si>
    <t xml:space="preserve">สกรูหัวจมบางสแตนเลส ขนาด 4 x 20 มม.  </t>
  </si>
  <si>
    <t xml:space="preserve">210265PRJ023 </t>
  </si>
  <si>
    <t xml:space="preserve">ว่าจ้างพร้อมอุปกรณ์ในการซ่อมเปลี่ยน MOTOR DRIVE /สายไฮดรอลิคไหลกลับ ของรถยกไฟฟ้ายี่ห้อ HELI </t>
  </si>
  <si>
    <t xml:space="preserve">210265R007 </t>
  </si>
  <si>
    <t>รุ่น CPD20-C ที่ก.ผลิตยาเส้น ฝ.ผลิตด้านใบยา  ยสท.อยุธยา</t>
  </si>
  <si>
    <t>สตัดเหล็กชุบซิงค์ขาวเกลียวตลอด ขนาด  M10x1.5 ยาว 1.5 เมตร</t>
  </si>
  <si>
    <t>105529046079</t>
  </si>
  <si>
    <t xml:space="preserve">บริษัท เท็คแมน (ไทยแลนด์) จำกัด </t>
  </si>
  <si>
    <t>สเปรย์ย่อยละลายสนิม คลายเกลียว UNLOCK ขนาดบรรจุกระป๋องละ 11 ออนซ์</t>
  </si>
  <si>
    <t xml:space="preserve"> BELLOW SEAL GLOBE VALVE PN16 DN20   </t>
  </si>
  <si>
    <t>BEARING ASAHI UK 212</t>
  </si>
  <si>
    <t>0115555022335</t>
  </si>
  <si>
    <t xml:space="preserve">บริษัท เอ็นพีที กรีน จำกัด   </t>
  </si>
  <si>
    <t>PE1000 WHITE THK.= 10 x 50 x 2000 MM.</t>
  </si>
  <si>
    <t xml:space="preserve"> 0135547009511</t>
  </si>
  <si>
    <t xml:space="preserve">บริษัท ทีดีเอส เทคโนโลยี (ประเทศไทย) </t>
  </si>
  <si>
    <t>"BECKHOFF" EL9400 : POWER SUPPLY TERMINAL FOR E-BUS, 24V DC, 2 A</t>
  </si>
  <si>
    <t>210265A35/1</t>
  </si>
  <si>
    <t xml:space="preserve">และรายการอื่นๆรวม 10 รายการ       </t>
  </si>
  <si>
    <t xml:space="preserve"> 0125561003533</t>
  </si>
  <si>
    <t xml:space="preserve">บริษัท ชตา อินสทรูเม้นท์ จำกัด  </t>
  </si>
  <si>
    <t xml:space="preserve"> "SIEMENS" SITRANS FC MASS 6000</t>
  </si>
  <si>
    <t xml:space="preserve">210265A48 </t>
  </si>
  <si>
    <t>0125555009894</t>
  </si>
  <si>
    <t xml:space="preserve">บริษัท ดูรัม จำกัด  </t>
  </si>
  <si>
    <t>INVERTER "DANFOSS" FC-360 + LCP 1.5 KW  IP20</t>
  </si>
  <si>
    <t>210265A49</t>
  </si>
  <si>
    <t xml:space="preserve"> 0113563000998</t>
  </si>
  <si>
    <t>ปั๊มน้ำ รุ่น CM 3-5 A-R-A-E-AVBE F-A-A  N "GRUNDFOS"</t>
  </si>
  <si>
    <t>210265PRJ025</t>
  </si>
  <si>
    <t xml:space="preserve"> ห้างหุ้นส่วนจำกัด พีแอนด์พี (2011)  </t>
  </si>
  <si>
    <t xml:space="preserve"> ว่าจ้างพร้อมอุปกรณ์ในการขึ้นรูป ชิ้นงานROLLER พร้อมหล่อยาง สายพานป้อนบุหรี่   ชิ้นส่วนเครื่องบรรจุซอง </t>
  </si>
  <si>
    <t>210265PRJ026</t>
  </si>
  <si>
    <t>SASIB NO.2 ยสท.อยุธยา</t>
  </si>
  <si>
    <t>"ESBELT" PU. CONVEYOR ENDLESS BELT TYPE  CLINA 12 UF (2 PLY,THICKNESS 1.60 MM.)</t>
  </si>
  <si>
    <t>210265PRJ027</t>
  </si>
  <si>
    <t xml:space="preserve">  SIZE W 150 MM.xL 2,920 MM.</t>
  </si>
  <si>
    <t xml:space="preserve">บริษัท แสงไกรทรัพย์เจริญเซอร์วิส จำกัด    </t>
  </si>
  <si>
    <t>ว่าจ้างพร้อมอุปกรณ์ในการซ่อม จอTOUCH SCREEN "SIEMENS" MODEL: 6AV6642- 0BA01-1AX1</t>
  </si>
  <si>
    <t>210265PRJ028</t>
  </si>
  <si>
    <t xml:space="preserve"> "ESBELT" PVC. CONVEYOR BELT TYPE U15/2  21 F WH SIZE W 800 MM.xL 6,000 MM.</t>
  </si>
  <si>
    <t xml:space="preserve">LEAF SPRING  </t>
  </si>
  <si>
    <t xml:space="preserve">210265A50 </t>
  </si>
  <si>
    <t xml:space="preserve"> BALL BEARINGS 6308-2Z/C3   </t>
  </si>
  <si>
    <t>210265A51</t>
  </si>
  <si>
    <t xml:space="preserve">PU TIMING BELT 50T10-1,010 - KEVLAR - V </t>
  </si>
  <si>
    <t>210265A52</t>
  </si>
  <si>
    <t xml:space="preserve"> 0105556047056</t>
  </si>
  <si>
    <t xml:space="preserve">  SPECIAL ITEM KIT SEAL PUMP TE VITONB1 EX</t>
  </si>
  <si>
    <t>210265A53</t>
  </si>
  <si>
    <t xml:space="preserve"> โอเวอร์โหลด TF42-16 13-16A "ABB"</t>
  </si>
  <si>
    <t>แบตเตอรี่ LP12-7.5 (12V7.5AH) "LEOCH"</t>
  </si>
  <si>
    <t>210265GT001</t>
  </si>
  <si>
    <t xml:space="preserve"> 0135545001581</t>
  </si>
  <si>
    <t>บริษัท ทีเอ็นพี เอ็นจิเนียริ่งเซอร์วิส จำกัด</t>
  </si>
  <si>
    <t xml:space="preserve">  "SEW-EURODRIVE" RECTIFIER BG1.2 </t>
  </si>
  <si>
    <t xml:space="preserve">210265A54  </t>
  </si>
  <si>
    <t xml:space="preserve">และรายการอื่นๆรวม 6 รายการ       </t>
  </si>
  <si>
    <t xml:space="preserve"> 0105541050170</t>
  </si>
  <si>
    <t xml:space="preserve"> ROTARY ACTUATOR "KINETROL" TORQUE 25 Nm. MODEL : 034-100</t>
  </si>
  <si>
    <t>210265A55</t>
  </si>
  <si>
    <t xml:space="preserve">บริษัท ไฟฟ้าอุตสาหกรรม จำกัด </t>
  </si>
  <si>
    <t xml:space="preserve"> INDUCTIVE SENSOR "PEPPERL+FUCHS" MODEL:  NBB8-18GM50-E2-V1</t>
  </si>
  <si>
    <t xml:space="preserve">210265A56 </t>
  </si>
  <si>
    <t>พัดลมระบายอากาศ MITSUBISHI รุ่น EX 20  SH 4T ขนาด 200 มม.</t>
  </si>
  <si>
    <t>210265BR001</t>
  </si>
  <si>
    <t>105536022643</t>
  </si>
  <si>
    <t>FLOOR MOUNTING SINGLE SPRING ISOLATOR   MODEL PTM-A-600 "TOZEN"</t>
  </si>
  <si>
    <t xml:space="preserve">210265PRJ029  </t>
  </si>
  <si>
    <t>210265PRJ030</t>
  </si>
  <si>
    <t xml:space="preserve">บริษัท ยู-เซอร์วิสเซส (ประเทศไทย) จำกัด   </t>
  </si>
  <si>
    <t>ว่าจ้างพร้อมอุปกรณ์ในการซ่อม MOTOR   BLOWER เครื่องกำจัดกลิ่นและควัน WET SCRUBBER NO.1</t>
  </si>
  <si>
    <t>ที่ ก.ผลิตยาเส้น ฝ.ผลิตด้านใบยา อาคาร B02 ยสท.อยุธยา</t>
  </si>
  <si>
    <t xml:space="preserve"> สกรูปลายสว่านหัวหกเหลี่ยมสแตนเลส #12x11/4"</t>
  </si>
  <si>
    <t xml:space="preserve"> 210265TRJ022 </t>
  </si>
  <si>
    <t>เซอร์กิตเบรคเกอร์ PLSM-C20/1 20A    "EATON"</t>
  </si>
  <si>
    <t>210265BT004</t>
  </si>
  <si>
    <t xml:space="preserve"> "TRUCK" CONNECTOR MODEL : CK 12-0</t>
  </si>
  <si>
    <t>210265PRJ031</t>
  </si>
  <si>
    <t>SEAL CR 50x72x8 CRW1V</t>
  </si>
  <si>
    <t>210265PRJ032</t>
  </si>
  <si>
    <t xml:space="preserve">และรายการอื่นๆรวม 4 รายการ       </t>
  </si>
  <si>
    <t>"ESBELT" PVC. CONVEYOR BELT TYPE U15/2  TS 21 F WH SIZE W 700 MM. x L 27,000   MM.</t>
  </si>
  <si>
    <t>210265TRJ023</t>
  </si>
  <si>
    <t xml:space="preserve"> ห้างหุ้นส่วนจำกัด วี.อาร์.พี.อินเตอร์เทรด</t>
  </si>
  <si>
    <t>เบรคเกอร์ NZMB1-A32 3P 25-32A 160A 25KA "EATON"</t>
  </si>
  <si>
    <t xml:space="preserve">210265BT005 </t>
  </si>
  <si>
    <t>210265C001</t>
  </si>
  <si>
    <t>DP27 PRESSURE REDUCING VALVE 1/2" BSP  RED "SPIRAX SARCO"</t>
  </si>
  <si>
    <t xml:space="preserve">210265TRJ027 </t>
  </si>
  <si>
    <t>น้ำยาล้างคอยล์เย็น DE-SCALER F-2 บรรจุ 20 กก.</t>
  </si>
  <si>
    <t>210265TRJ028</t>
  </si>
  <si>
    <t xml:space="preserve"> 0105535105057</t>
  </si>
  <si>
    <t>VALVE UNIT "FESTO" E04311918</t>
  </si>
  <si>
    <t xml:space="preserve">210265A57 </t>
  </si>
  <si>
    <t>"MGM" MOTOR 0.75 kW. , MODEL: BA 80B4</t>
  </si>
  <si>
    <t>210265A58</t>
  </si>
  <si>
    <t>0135563005665</t>
  </si>
  <si>
    <t xml:space="preserve">บริษัท ทีเค เพาเวอร์ เอ็นจิเนียริ่ง (2020) </t>
  </si>
  <si>
    <t>ว่าจ้างพร้อมอุปกรณ์ในการซ่อมเปลี่ยนเพรสเชอร์เกจวัดแรงดันน้ำประปา บริเวณอาคาร B03 ยสท.อยุธยา</t>
  </si>
  <si>
    <t>210265BT003</t>
  </si>
  <si>
    <t>0105543111516</t>
  </si>
  <si>
    <t>บริษัท แมสเทค ลิ้งค์ จำกัด</t>
  </si>
  <si>
    <t xml:space="preserve">ว่าจ้างพร้อมอุปกรณ์ในการซ่อมเปลี่ยน  อะไหล่วาวล์ระบายแรงดัน (RELIEF VALVE)จำนวน 3 ชุด </t>
  </si>
  <si>
    <t xml:space="preserve">210265RR006 </t>
  </si>
  <si>
    <t xml:space="preserve"> ของระบบซิลเลอร์ ที่อาคาร  B03 ยสท.อยุธยา</t>
  </si>
  <si>
    <t>THERMOMETER 0-55 C "TRERICE" รุ่น BX 91403</t>
  </si>
  <si>
    <t xml:space="preserve">210265RR007  </t>
  </si>
  <si>
    <t>UNLOCKสเปรย์คลายน๊อต  คลายเกลียวกัดสนิม ขนาดบรรจุ 11 ออนซ์</t>
  </si>
  <si>
    <t>210265TRJ024</t>
  </si>
  <si>
    <t>ปะเก็นสตีม KLINGER #80 ขนาด 5x5 ฟุต หนา  3 มม.</t>
  </si>
  <si>
    <t xml:space="preserve">210265TRJ025 </t>
  </si>
  <si>
    <t>เทปพันเกลียว ขนาด 12 มม. x 0.075 มม. x   10 เมตร "AZUMA"</t>
  </si>
  <si>
    <t>210265TRJ026</t>
  </si>
  <si>
    <t xml:space="preserve"> บริษัท เอพีที กรุ๊ป จำกัด</t>
  </si>
  <si>
    <t>CARBON CURRENT COLLECTOR UNIT 081106-  5303 16A REV</t>
  </si>
  <si>
    <t xml:space="preserve"> 0105551003531</t>
  </si>
  <si>
    <t xml:space="preserve"> FILTER "SCHAFFNER" FN2060-10-06 10A    250A</t>
  </si>
  <si>
    <t xml:space="preserve">  RACE (PISTA)</t>
  </si>
  <si>
    <t>ESBELT PVC. CONVEYOR BELT TYPE CLINA 21 CF SIZE W: 1,000 mm. x L: 25,000 mm.</t>
  </si>
  <si>
    <t xml:space="preserve">CHECK VALVE ทองเหลือง ขนาด 1/4" "KITZ" </t>
  </si>
  <si>
    <t>210265GT002</t>
  </si>
  <si>
    <t xml:space="preserve"> ว่าจ้างพร้อมอุปกรณ์ในการขึ้นรูป ชิ้นงาน ROLLER พร้อมหล่อยาง ชิ้นส่วนเครื่องป้อนรางบุหรี่ TF3P U2</t>
  </si>
  <si>
    <t>210265PRJ033</t>
  </si>
  <si>
    <t>NO.3 ยสท.อยุธยา   และรายการอื่นๆรวม 2 รายการ</t>
  </si>
  <si>
    <t xml:space="preserve"> 0115555022335</t>
  </si>
  <si>
    <t xml:space="preserve"> บริษัท เอ็นพีที กรีน จำกัด   </t>
  </si>
  <si>
    <t>STAINLESS STEEL SEAMLESS TUBE 316 OD  10x1 MM.x6M.</t>
  </si>
  <si>
    <t>210265PRJ034</t>
  </si>
  <si>
    <t>แผ่นอลูมิเนียม 7075 ขนาด 345x345x10 มม</t>
  </si>
  <si>
    <t>210265PRJ035</t>
  </si>
  <si>
    <t>BEARING SKF 305800 C-2Z</t>
  </si>
  <si>
    <t xml:space="preserve">210265PRJ036 </t>
  </si>
  <si>
    <t xml:space="preserve">SEAL NOK TC 20 x 30 x 7 </t>
  </si>
  <si>
    <t>210265PRJ037</t>
  </si>
  <si>
    <t xml:space="preserve"> OIL SEAL (VITON) ID 10.5 x OD 14.0 x  THK 2.3 MM.</t>
  </si>
  <si>
    <t>210265PRJ038</t>
  </si>
  <si>
    <t>SEAL CR 55x72x8 CRW1V (ขอบเหล็กเนื้อ   VITON)</t>
  </si>
  <si>
    <t>210265PRJ039</t>
  </si>
  <si>
    <t>210265PRJ040</t>
  </si>
  <si>
    <t xml:space="preserve"> สกรูหัวเตเปอร์ดำหัวจม 5x12 MM. เกรด 12.9</t>
  </si>
  <si>
    <t>210265PRJ041</t>
  </si>
  <si>
    <t xml:space="preserve">บริษัท เอควิป จำกัด  </t>
  </si>
  <si>
    <t>210265PRJ042</t>
  </si>
  <si>
    <t xml:space="preserve"> 0105525006986</t>
  </si>
  <si>
    <t xml:space="preserve">บริษัท ไทยโพลิเมอร์ ซัพพลาย จำกัด     </t>
  </si>
  <si>
    <t>210265PRJ043</t>
  </si>
  <si>
    <t xml:space="preserve"> ปั๊มน้ำ รุ่น CM 1-5 A-R-A-E-AVBE F-A-A-       N "GRUNDFOS"</t>
  </si>
  <si>
    <t xml:space="preserve"> 0107555000091</t>
  </si>
  <si>
    <t>210265R008</t>
  </si>
  <si>
    <t>ว่าจ้างพร้อมอุปกรณ์ในการซ่อม  ตู้ชาร์จรถยกไฟฟ้า ที่กองคลังผลิตภัณฑ์ ฝ่ายขาย ยสท.อยุธยา</t>
  </si>
  <si>
    <t>210265R009</t>
  </si>
  <si>
    <t xml:space="preserve">210265R011  </t>
  </si>
  <si>
    <t>รุ่น PR02 ที่  ก.มวนฯ ฝ.ผลิตภัณฑ์สำเร็จรูป ยสท.อยุธยา</t>
  </si>
  <si>
    <t xml:space="preserve">PROFILE SYSTEM </t>
  </si>
  <si>
    <t>210265A63</t>
  </si>
  <si>
    <t xml:space="preserve"> 0145562005360</t>
  </si>
  <si>
    <t>FLEXIBLE HOSE SS316 12 3/4" x L1.0 m</t>
  </si>
  <si>
    <t>210265A64</t>
  </si>
  <si>
    <t xml:space="preserve"> 0105551067890</t>
  </si>
  <si>
    <t>SAFETY RELAY PNOZ s5 C 24VDC 2 n/o 2n/o t "PILZ"</t>
  </si>
  <si>
    <t>210265A65</t>
  </si>
  <si>
    <t xml:space="preserve">210265C002 </t>
  </si>
  <si>
    <t xml:space="preserve">ว่าจ้างพร้อมอุปกรณ์ในการขึ้นรูป ชิ้นงาน  LEVER ขนาด 33.50 x 88.70 x 33.50 มม.   วัสดุอลูมิเนียม 7075 </t>
  </si>
  <si>
    <t>210265PRJ045</t>
  </si>
  <si>
    <t xml:space="preserve">พร้อมบูชทองเหลืองชิ้นส่วนเครื่อง DELTA-W No.1 4ยสท.อยุธยา   และรายการอื่นๆรวม 1 รายการ </t>
  </si>
  <si>
    <t>ชิ้นงาน CONROD ขนาด 100 x 9.20 มม.วัสดุเหล็กเหนียวพร้อม BEARING ชิ้นส่วนเครื่อง ALFA RAM No.21</t>
  </si>
  <si>
    <t xml:space="preserve">210265PRJ046 </t>
  </si>
  <si>
    <t xml:space="preserve">แบตเตอรี่ LP12-7.5 (12V7.5AH) "LEOCH" </t>
  </si>
  <si>
    <t>210265GT003</t>
  </si>
  <si>
    <t>GDX18V-200 C EC สว่านไขควงกระแทกไร้สาย BOSCH</t>
  </si>
  <si>
    <t>210265P003</t>
  </si>
  <si>
    <t>DRESSING DIAMOND</t>
  </si>
  <si>
    <t xml:space="preserve">210265A66 </t>
  </si>
  <si>
    <t xml:space="preserve">210265A67 </t>
  </si>
  <si>
    <t>210265A68</t>
  </si>
  <si>
    <t xml:space="preserve">และรายการอื่นๆรวม 9 รายการ       </t>
  </si>
  <si>
    <t xml:space="preserve"> 0115561001352</t>
  </si>
  <si>
    <t xml:space="preserve">บริษัท เอสพีเอ็น18 เอ็นจิเนียริ่ง จำกัด   </t>
  </si>
  <si>
    <t>ว่าจ้างพร้อมอุปกรณ์ในการซ่อมเปลี่ยนฟุตวาล์วขนาด 4 นิ้ว จำนวน ตัว/ เช็ควาล์วขนาด 3 นิ้ว จำนวน 2  ตัว</t>
  </si>
  <si>
    <t>210265BT006</t>
  </si>
  <si>
    <t>/AIRVENT ขนาด 1/2 นิ้ว จำนวน 2 ตัวที่ห้องปั๊มน้ำรดน้ำต้นไม้   ฝ่ายบริการกลาง ยสท.อยุธยา</t>
  </si>
  <si>
    <t xml:space="preserve"> 0105535067635</t>
  </si>
  <si>
    <t xml:space="preserve"> HYDRAULIC OIL S.A.E 30 W 40</t>
  </si>
  <si>
    <t xml:space="preserve">และรายการอื่นๆรวม 2รายการ       </t>
  </si>
  <si>
    <t xml:space="preserve"> ว่าจ้างพร้อมอุปกรณ์ในการซ่อม POWER SUPPLY ของเครื่อง MAGOMAT 80 No.3 </t>
  </si>
  <si>
    <t xml:space="preserve">210265PRJ047 </t>
  </si>
  <si>
    <t>ติดตั้งใช้งานที่กองผลิตก้นกรอง ฝ่ายผลิตภัณฑ์สำเร็จรูป อาคาร B02 ยสท.อยุธยา</t>
  </si>
  <si>
    <t>METAL BELLOW COUPING #45 KTR-TOOLFLEX  TYPE M WITH CLAMPING HUBS เจาะรูเพลา 25</t>
  </si>
  <si>
    <t>210265PRJ048</t>
  </si>
  <si>
    <t>MM. และ 30 MM. ร่องลิ่ม 8 MM.</t>
  </si>
  <si>
    <t>ว่าจ้างพร้อมอุปกรณ์ในการขึ้นรูป ชิ้นงานSEALING BLOCK รหัส 130203838ชิ้นส่วนเครื่องส่งก้นกรอง</t>
  </si>
  <si>
    <t xml:space="preserve">210265PRJ049 </t>
  </si>
  <si>
    <t>FILTROMAT-S2   NO.10 ยสท.อยุธยา</t>
  </si>
  <si>
    <t xml:space="preserve"> BEARING SKF 61800-2Z</t>
  </si>
  <si>
    <t>210265PRJ050</t>
  </si>
  <si>
    <t xml:space="preserve">บริษัท ทีเอ็นพี เอ็นจิเนียริ่งเซอร์วิส จำกัด   </t>
  </si>
  <si>
    <t>"SEW-EURODRIVE" HELICAL WORM GEARED   MOTORS INSULATION CLASS F, IP 55 3</t>
  </si>
  <si>
    <t>210265TRJ030</t>
  </si>
  <si>
    <t xml:space="preserve"> PHASE./380V./50HZ. TYPE SA67/TDRN100L4/Z POWER 3KW, IN/OUT  SPEED 1456/54, RATIO </t>
  </si>
  <si>
    <t>26.93, S.F. 1.05, OUTPUT TORQUE 450 NM, HOLLOW SHAFT 45 MM.</t>
  </si>
  <si>
    <t xml:space="preserve"> 0105548048669</t>
  </si>
  <si>
    <t xml:space="preserve">บริษัท เอสโอซี เอ็นจิเนียริ่ง จำกัด </t>
  </si>
  <si>
    <t xml:space="preserve">STAINLESS STEEL COUPLING SIZE : 2" </t>
  </si>
  <si>
    <t>210265TRJ031</t>
  </si>
  <si>
    <t xml:space="preserve"> BEARING SKF BS2-2205-2RS/VT143  </t>
  </si>
  <si>
    <t>210265TRJ032</t>
  </si>
  <si>
    <t>0125561003533</t>
  </si>
  <si>
    <t xml:space="preserve">บริษัท ชตา อินสทรูเม้นท์ จำกัด </t>
  </si>
  <si>
    <t>DATA LOGGER FOR AMMONIA (NH3) GAS DETECTOR</t>
  </si>
  <si>
    <t xml:space="preserve">210265A69 </t>
  </si>
  <si>
    <t xml:space="preserve"> "ESBELT" PVC.CONVEYOR ENDLESS BELT TYPE   CLINA 07 CF SIZE W 210 MM.xL 3,287 MM.</t>
  </si>
  <si>
    <t>210265PRJ051</t>
  </si>
  <si>
    <t xml:space="preserve">ว่าจ้างพร้อมอุปกรณ์ในการซ่อมเปลี่ยนMAINBOARD/TRAVEL CONTROL ASSYของรถยกไฟฟ้า </t>
  </si>
  <si>
    <t>210265R012</t>
  </si>
  <si>
    <t xml:space="preserve"> JUNGHEINRICH รุ่น ERE120G115-53 ที่ก.ผลิตก้นกรอง  ฝ.ผลิตภัณฑ์สำเร็จรูป ยสท.อยุธยา</t>
  </si>
  <si>
    <t xml:space="preserve">บริษัท ทีเค เพาเวอร์ เอ็นจิเนียริ่ง (2020)  </t>
  </si>
  <si>
    <t xml:space="preserve">ท่อเมนน้ำรดน้ำต้นไม้ HDPE ขนาด 110 มม. บริเวณด้านข้างห้องควบคุมปั๊มน้ำ   รดน้ำต้นไม้หน้าอาคาร </t>
  </si>
  <si>
    <t xml:space="preserve">210265BT007 </t>
  </si>
  <si>
    <t xml:space="preserve">B01 ยสท.อยุธยา และรายการอื่นๆรวม 1 รายการ       </t>
  </si>
  <si>
    <t>"ESBELT" PU.CONVEYOR ENDLESS BELT TYPE   CLINA 12 UF SIZE W 200 MM.xL 3,880 MM.</t>
  </si>
  <si>
    <t>แผ่นสปริงสีเงิน ขนาด 0.3มม.x30มม.x3เมตร</t>
  </si>
  <si>
    <t>210265PRJ053</t>
  </si>
  <si>
    <t xml:space="preserve"> BEARING FAG 22205E1XL </t>
  </si>
  <si>
    <t>210265PRJ054</t>
  </si>
  <si>
    <t>แผ่นอลูมิเนียม เกรด 5083 ขนาด 4มม.x4ฟุตx8ฟุต</t>
  </si>
  <si>
    <t>210265PRJ055</t>
  </si>
  <si>
    <t xml:space="preserve">บริษัท ไทยโพลิเมอร์ ซัพพลาย จำกัด  </t>
  </si>
  <si>
    <t>NYLON WHITE ROD 10 MM.x1M.</t>
  </si>
  <si>
    <t>210265PRJ056</t>
  </si>
  <si>
    <t xml:space="preserve">BELT E8/2 UO/V15 LG GREEN W: 50 MM.xL:   1,320 MM. ENDLESS WITH LATERAL GROOVE  </t>
  </si>
  <si>
    <t>210265PRJ057</t>
  </si>
  <si>
    <t xml:space="preserve"> ON TOP FACE และรายการอื่นๆรวม 1 รายการ       </t>
  </si>
  <si>
    <t>สายไฟ VCT/GRD 2 x 1.5/1.5 SQMM "YAZAKI"</t>
  </si>
  <si>
    <t>210265T005</t>
  </si>
  <si>
    <t xml:space="preserve"> 0105533036945</t>
  </si>
  <si>
    <t>DP27 PRESSURE REDUCING VALVE 40MM PN16/25 RED "SPIRAX SARCO"</t>
  </si>
  <si>
    <t>210265TRJ033</t>
  </si>
  <si>
    <t xml:space="preserve">LIGHTING BUSBAR SYSTEM TYPE DL25 "EAE"  </t>
  </si>
  <si>
    <t xml:space="preserve">210265TRJ034 </t>
  </si>
  <si>
    <t>มอเตอร์พัดลม 1/10 HP 220V.1PH 3 SPEED   รุ่น S2-1/10-B YAMABISHI</t>
  </si>
  <si>
    <t>210265TRJ035</t>
  </si>
  <si>
    <t xml:space="preserve">บริษัท ไทยโพลิเมอร์ ซัพพลาย จำกัด    </t>
  </si>
  <si>
    <t>2102651A007</t>
  </si>
  <si>
    <t xml:space="preserve"> 0105543109856</t>
  </si>
  <si>
    <t xml:space="preserve">บริษัท แซมซั่น คอนโทรลส์ จำกัด </t>
  </si>
  <si>
    <t>"SAMSON" TYPE 3351 ON-OFF VALVE DN25   PN16 CAST IRON EN-JL 1040</t>
  </si>
  <si>
    <t>210265A70</t>
  </si>
  <si>
    <t>105543106610</t>
  </si>
  <si>
    <t>GARNITURE TAPE NASTA TYPE 1353-2VVT SIZE 3,100x21 mm.</t>
  </si>
  <si>
    <t>210265A71</t>
  </si>
  <si>
    <t xml:space="preserve"> 0105532094534</t>
  </si>
  <si>
    <t xml:space="preserve">FREE ROLLER SIZE Dia. 30 x 145 mm. MAT;SCM4                                    </t>
  </si>
  <si>
    <t>210265A72</t>
  </si>
  <si>
    <t xml:space="preserve">บริษัท สไปแร็กซ์ ซาร์โก (ประเทศไทย) จำกัด  </t>
  </si>
  <si>
    <t>"SPIRAX SARCO" DP27Y 20MM FLANGED PN16/25 YELLOW SG IRON BODY PRESSURE</t>
  </si>
  <si>
    <t xml:space="preserve">210265A73 </t>
  </si>
  <si>
    <t>REDUCING VALVE PILOT OPERATED</t>
  </si>
  <si>
    <t xml:space="preserve">บริษัท เฟสโต้ จำกัด          </t>
  </si>
  <si>
    <t xml:space="preserve">DRUCKSCHALTER "FESTO" PEV-1/4-B-OD    </t>
  </si>
  <si>
    <t xml:space="preserve">และรายการอื่นๆรวม 1 รายการ   </t>
  </si>
  <si>
    <t xml:space="preserve"> 0135542003175</t>
  </si>
  <si>
    <t xml:space="preserve">บริษัท ภูสุวรรณ อินเตอร์เทรด จำกัด         </t>
  </si>
  <si>
    <t>ลวดเชื่อม MG 130FC DIA 3.0 x 500 MM."MESSER" ขนาดบรรจุกล่องละ 5 กก.</t>
  </si>
  <si>
    <t>210265PRJ058</t>
  </si>
  <si>
    <t xml:space="preserve"> 0105548148108</t>
  </si>
  <si>
    <t>TWO WAY CONTROL VALVE รุ่น VA9208-GGA-1 JOHNSON CONTROL</t>
  </si>
  <si>
    <t>210265PRJ059</t>
  </si>
  <si>
    <t xml:space="preserve">และรายการอื่นๆรวม 2 รายการ   </t>
  </si>
  <si>
    <t>0105547098638</t>
  </si>
  <si>
    <t xml:space="preserve">บริษัท แคมฟิล (ประเทศไทย) จำกัด </t>
  </si>
  <si>
    <t xml:space="preserve">MHF 594x594x48-G4 ; 594x594x48 MM.  </t>
  </si>
  <si>
    <t>210265PRJ060</t>
  </si>
  <si>
    <t>0105543112687</t>
  </si>
  <si>
    <t xml:space="preserve">บริษัท ริททัล จำกัด     </t>
  </si>
  <si>
    <t xml:space="preserve">3398294 SK RADIAL FAN FOR 3329540    </t>
  </si>
  <si>
    <t>210265TRJ036</t>
  </si>
  <si>
    <t xml:space="preserve">บริษัท เบนฟิฟท์ช จำกัด     </t>
  </si>
  <si>
    <t xml:space="preserve">มอเตอร์พัดลม 1/10HP 220V 1PH 3 SPEED </t>
  </si>
  <si>
    <t xml:space="preserve">และรายการอื่นๆรวม 9 รายการ   </t>
  </si>
  <si>
    <t xml:space="preserve"> O-RING JAPAN 13.3x2.4 </t>
  </si>
  <si>
    <t>210265PRJ061</t>
  </si>
  <si>
    <t>BEARING SKF 7209 CD/P4A DBA</t>
  </si>
  <si>
    <t>BEARING SKF 61800-2Z</t>
  </si>
  <si>
    <t>210265PRJ063</t>
  </si>
  <si>
    <t>TEMPERATURE CONTROL STC-200 "ELITECH"</t>
  </si>
  <si>
    <t xml:space="preserve">บริษัท เลพเพิร์ด อินเตอร์เทรด จำกัด        </t>
  </si>
  <si>
    <t>TIMING BELT TYPE T-5 PU.WHITE WITH  STEEL CORD/ENDLESS JOINT SIZE W 45 MM.x L 2,345 MM</t>
  </si>
  <si>
    <t xml:space="preserve">(469 TEETH)  และรายการอื่นๆรวม 3  รายการ   </t>
  </si>
  <si>
    <t xml:space="preserve"> 0115544007577</t>
  </si>
  <si>
    <t xml:space="preserve">บริษัท เอควิป จำกัด </t>
  </si>
  <si>
    <t>LOCTITE 510 GASKET ELIMINATOR 300 ML.</t>
  </si>
  <si>
    <t xml:space="preserve">210265PRJ066  </t>
  </si>
  <si>
    <t xml:space="preserve">และรายการอื่นๆรวม 1  รายการ </t>
  </si>
  <si>
    <t xml:space="preserve"> 0105542006174</t>
  </si>
  <si>
    <t xml:space="preserve">บริษัท ยูไนเต็ดเพาเวอร์อีควิปเม้นท์ จำกัด    </t>
  </si>
  <si>
    <t>"TOA" สีน้ำมัน # G566 สีเขียว ขนาด  3.785 ลิตร</t>
  </si>
  <si>
    <t xml:space="preserve">และรายการอื่นๆรวม 3 รายการ </t>
  </si>
  <si>
    <t>ทินเนอร์ ตราพัด #7051 ขนาดบรรจุ 3.5 ลิตร</t>
  </si>
  <si>
    <t xml:space="preserve">210265PRJ068 </t>
  </si>
  <si>
    <t xml:space="preserve">SLEEVES ASA H 2311 </t>
  </si>
  <si>
    <t xml:space="preserve">และรายการอื่นๆรวม 2 รายการ </t>
  </si>
  <si>
    <t>มอเตอร์พัดลม 1/10HP 220V 1PH 3 SPEED รุ่น S2-1/10B "YAMABISHI"</t>
  </si>
  <si>
    <t xml:space="preserve"> 0105544023092</t>
  </si>
  <si>
    <t xml:space="preserve">บริษัท เอส.เอส.อัลลายแอนซ์ จำกัด   </t>
  </si>
  <si>
    <t>ว่าจ้างพร้อมอุปกรณ์ในการเปลี่ยน ผ้าใบปากพัดลมของห้อง AIR WASHER No.2  ที่อาคาร B02 ยสท.อยุธยา</t>
  </si>
  <si>
    <t>210265TRJ039</t>
  </si>
  <si>
    <t xml:space="preserve">TOOTHED BELT HTD 425-5M-9                              </t>
  </si>
  <si>
    <t xml:space="preserve">210265A75 </t>
  </si>
  <si>
    <t xml:space="preserve">และรายการอื่นๆรวม  4  รายการ   </t>
  </si>
  <si>
    <t xml:space="preserve"> LIGHT BARRIER (PHOTOSENSOR)  </t>
  </si>
  <si>
    <t xml:space="preserve">บริษัท ซี เอส. เฟล็กซิเบิ้ล แอนด์ ซัพพลาย          </t>
  </si>
  <si>
    <t>ว่าจ้างพร้อมอุปกรณ์ในการซ่อมเครื่อง   กลึง HARRISON 600 รหัสเครื่องจักร 100003068ติดตั้งใช้งานอยู่ที่</t>
  </si>
  <si>
    <t xml:space="preserve">210265C004 </t>
  </si>
  <si>
    <t>กองผลิตชิ้นส่วน ฝ่ายวิศวกรรมและพัฒนา อาคาร B08 ยสท.อยุธยา</t>
  </si>
  <si>
    <t xml:space="preserve"> 0105534102593</t>
  </si>
  <si>
    <t>บริษัท พ. พานชัย จำกัด</t>
  </si>
  <si>
    <t xml:space="preserve">หินแท่ง 6"x1" x 1/2" #220  </t>
  </si>
  <si>
    <t>210265P004</t>
  </si>
  <si>
    <t xml:space="preserve"> ยางหุ้มเพลา ขนาด 30 x 95 มม.  </t>
  </si>
  <si>
    <t>210265PRJ069</t>
  </si>
  <si>
    <t xml:space="preserve">บริษัท เค เทรด เอ็นจิเนียริ่ง จำกัด   </t>
  </si>
  <si>
    <t xml:space="preserve">BRAKE DISC FOR BA80 MGM MOTOR  </t>
  </si>
  <si>
    <t xml:space="preserve"> 0123554009121</t>
  </si>
  <si>
    <t xml:space="preserve">ว่าจ้างพร้อมอุปกรณ์ในการขึ้นรูป ชิ้นงานSHAFT รหัส 130212863  </t>
  </si>
  <si>
    <t xml:space="preserve">210265PRJ072 </t>
  </si>
  <si>
    <t>ชิ้นส่วนเครื่องบรรจุซอง ALFA RAM NO.19  ยสท.อยุธยา</t>
  </si>
  <si>
    <t xml:space="preserve"> 0103556009691</t>
  </si>
  <si>
    <t>ว่าจ้างพร้อมอุปกรณ์ในการ ล้างทำความสะอาดเครื่องปรับอากาศ จำนวน 7 เซอร์วิสชุด ที่กองขนส่ง</t>
  </si>
  <si>
    <t>210265R013</t>
  </si>
  <si>
    <t>ฝ่ายจัดหาและรักษาพัสดุ อาคาร B09 ยสท.อยุธยา</t>
  </si>
  <si>
    <t xml:space="preserve">บริษัท เอ็นดี อิเลคทริค จำกัด       </t>
  </si>
  <si>
    <t xml:space="preserve">SAFETY SWITCH PSEN cs3.1b RFiD "PILZ" </t>
  </si>
  <si>
    <t xml:space="preserve"> บริษัท เอส เค เอส อินเตอร์พาร์ท จำกัด   </t>
  </si>
  <si>
    <t xml:space="preserve">BEARING SKF YAR 205-2F   </t>
  </si>
  <si>
    <t>210265PRJ070</t>
  </si>
  <si>
    <t xml:space="preserve"> 0135547001791</t>
  </si>
  <si>
    <t xml:space="preserve">ว่าจ้างพร้อมอุปกรณ์ในการซ่อมรถยก HAND    LIFT TRUCK ยี่ห้อ LITTO  ของกองมวนและบรรจุ  </t>
  </si>
  <si>
    <t>210265R014</t>
  </si>
  <si>
    <t>ฝ่ายผลิตภัณฑ์สำเร็จรูป</t>
  </si>
  <si>
    <t xml:space="preserve"> 0103534017420</t>
  </si>
  <si>
    <t xml:space="preserve">ปลั๊กกราวด์คู่ : WEG15929 "PANASONIC"   </t>
  </si>
  <si>
    <t>210265BT008</t>
  </si>
  <si>
    <t xml:space="preserve">และรายการอื่นๆรวม 7รายการ </t>
  </si>
  <si>
    <t xml:space="preserve"> 0105534060921</t>
  </si>
  <si>
    <t xml:space="preserve">บริษัท ไฟฟ้าอุตสาหกรรม จำกัด       </t>
  </si>
  <si>
    <t>INDUCTIVE SENSOR "PEPPERL+FUCHS" MODEL: NBB15-30GM60-A2-V1</t>
  </si>
  <si>
    <t xml:space="preserve"> บริษัท เพ็ชรไฟน์ จำกัด </t>
  </si>
  <si>
    <t xml:space="preserve"> AUXILIARY CONTACT 4P, 2NO+2NC "DILA XH122"</t>
  </si>
  <si>
    <t xml:space="preserve">และรายการอื่นๆรวม 2รายการ </t>
  </si>
  <si>
    <t xml:space="preserve"> ห้างหุ้นส่วนจำกัด วี.อาร์.พี.อินเตอร์เทรด      </t>
  </si>
  <si>
    <t xml:space="preserve"> เบรคเกอร์ NZMB1-A25 3P 20-25A 160AF  25KA "EATON" </t>
  </si>
  <si>
    <t xml:space="preserve">และรายการอื่นๆรวม1 รายการ </t>
  </si>
  <si>
    <t xml:space="preserve"> ห้างหุ้นส่วนจำกัด พีแอนด์พี (2011) </t>
  </si>
  <si>
    <t xml:space="preserve"> บริษัท เลพเพิร์ด อินเตอร์เทรด จำกัด     </t>
  </si>
  <si>
    <t>"ESBELT" TRANSMISSION BELT TYPE FF-06 SIZE W 60 MM. x L 3,990 MM.</t>
  </si>
  <si>
    <t>210265PRJ074</t>
  </si>
  <si>
    <t xml:space="preserve">ห้างหุ้นส่วนจำกัด พีแอนด์พี (2011)         </t>
  </si>
  <si>
    <t>210265TRJ040</t>
  </si>
  <si>
    <t>BLENDING CARRIAGE (BLC209.01) ขนาดโตนอก 224 มม. ขนาดรูใน 104 มม. หนา 10 มม.  วัสดุเหล็กเกรด SS400</t>
  </si>
  <si>
    <t xml:space="preserve"> 0125564021532</t>
  </si>
  <si>
    <t xml:space="preserve">บริษัท คาฟห์ เอ็นจิเนียร์ริ่งแอนด์เทรดดิ้ง </t>
  </si>
  <si>
    <t>VACUUM CUP DIA100 FOR KUKA&amp;ROBOT</t>
  </si>
  <si>
    <t>0135562010746</t>
  </si>
  <si>
    <t xml:space="preserve">บริษัท กู๊ดสไมล์99 จำกัด    </t>
  </si>
  <si>
    <t xml:space="preserve">PNEUMATIC CLAMP DIA 85 FOR ROBOT      </t>
  </si>
  <si>
    <t>บริษัท ริททัล จำกัด</t>
  </si>
  <si>
    <t xml:space="preserve">3397534 SK TEMPERATURE SENSOR ,BLUE  </t>
  </si>
  <si>
    <t xml:space="preserve">และรายการอื่นๆรวม 5 รายการ </t>
  </si>
  <si>
    <t xml:space="preserve">เอ็นเทค ซิสเท็ม           </t>
  </si>
  <si>
    <t>ว่าจ้างพร้อมอุปกรณ์ในการหล่อยาง สีดำ ขนาด 22x115 มม. ความแข็งยาง 50ยูริเทน</t>
  </si>
  <si>
    <t>SHORE A ชิ้นส่วนชุด RIBBON ROLLER เครื่องห่อสิบซอง DELTA-P NO.13 ยสท.อยุธยา</t>
  </si>
  <si>
    <t xml:space="preserve">บริษัท เบนฟิฟท์ช จำกัด               </t>
  </si>
  <si>
    <t xml:space="preserve">ปั๊มระบายน้ำทิ้งเครื่องปรับอากาศ   "WINMAX" ใช้กับระบบไฟฟ้า 220V. 1ph 50HZ   </t>
  </si>
  <si>
    <t xml:space="preserve"> 0105499000548</t>
  </si>
  <si>
    <t xml:space="preserve"> บริษัท มินเซนแมชีนเนอรี่ จำกัด    </t>
  </si>
  <si>
    <t xml:space="preserve">GRUNDFOS PUMP MODEL CR10-3 A-FJ-A-E-  HQQE 1.1KW 3x380V. 2900RPM. 50HZ.  </t>
  </si>
  <si>
    <t xml:space="preserve"> บริษัท เบนฟิฟท์ช จำกัด        </t>
  </si>
  <si>
    <t xml:space="preserve">พลาอลูมิเนียมหกเหลี่ยม ขนาด 3/4"x6  เมตร </t>
  </si>
  <si>
    <t xml:space="preserve">210265TRJ041  </t>
  </si>
  <si>
    <t xml:space="preserve"> บริษัท เค เทรด เอ็นจิเนียริ่ง จำกัด </t>
  </si>
  <si>
    <t>MAKITA ใบเจียร 4" ขนาด 100x4x16 mm. B- 7272</t>
  </si>
  <si>
    <t xml:space="preserve">210265TRJ042  </t>
  </si>
  <si>
    <t xml:space="preserve"> บริษัท ทูลเทค แอนด์ เดคคอร์ จำกัด       </t>
  </si>
  <si>
    <t xml:space="preserve">"SAMSON" DIAPHRAGM FOR ACTUATOR 3361-08 </t>
  </si>
  <si>
    <t xml:space="preserve">และรายการอื่นๆรวม 1 รายการ </t>
  </si>
  <si>
    <t>ทินเนอร์ผสมสี TOA NO.21 ขนาดบรรจุ 3.785ลิตร</t>
  </si>
  <si>
    <t xml:space="preserve">สักหลาดใยฝ้าย หนา 6 มม. ความกว้าง  5 ฟุต 10 นิ้ว x ความยาว 8 ฟุต </t>
  </si>
  <si>
    <t>TOA สีรองพื้นแดงกันสนิม RED OXIDE  #  G1024 ขนาดบรรจุ 3.785 ลิตร</t>
  </si>
  <si>
    <t>"LENZE" 33.471 E.38 SPEED CONTROLLER</t>
  </si>
  <si>
    <t>210265A82</t>
  </si>
  <si>
    <t xml:space="preserve"> 0105536091084</t>
  </si>
  <si>
    <t>TIMING BELT 280-5M</t>
  </si>
  <si>
    <t>210265A83</t>
  </si>
  <si>
    <t xml:space="preserve">GARNITURE TAPE  SIZE 3,100x21 mm. Type AQO 90 </t>
  </si>
  <si>
    <t xml:space="preserve">210265A84 </t>
  </si>
  <si>
    <t xml:space="preserve">SEAL RING      </t>
  </si>
  <si>
    <t>210265A85</t>
  </si>
  <si>
    <t xml:space="preserve">ห้างหุ้นส่วนจำกัด แมส แอฟฟลูเอนท์   </t>
  </si>
  <si>
    <t xml:space="preserve">ชุดบ๊อกซ์ KOKEN 4241M+C  </t>
  </si>
  <si>
    <t xml:space="preserve"> 0105538091006</t>
  </si>
  <si>
    <t>บริษัท เอส.เอส.แอร์ เซอร์วิส จำกัด</t>
  </si>
  <si>
    <t>ว่าจ้างพร้อมอุปกรณ์ในการซ่อม เครื่องปรับอากาศที่ห้องประชุมหน่วยดับเพลิง อาคาร B03 ยสท.อยุธยา</t>
  </si>
  <si>
    <t xml:space="preserve">3ERAG60 VKX INSERT "KENNAMETAL"  </t>
  </si>
  <si>
    <t>210265ST001</t>
  </si>
  <si>
    <t xml:space="preserve">BEARINGS UKP211-LDK </t>
  </si>
  <si>
    <t>210265A86</t>
  </si>
  <si>
    <t xml:space="preserve">END MILL CARBIDE COATING TIAIN (2 ฟัน)  2512A DIA. 4x8x57 SHANK 6 MM.  </t>
  </si>
  <si>
    <t>210265P007</t>
  </si>
  <si>
    <t>SAFE LOCK WASHERS ขนาด 6 MM.x10 MM.x0.7 MM.</t>
  </si>
  <si>
    <t xml:space="preserve">บริษัท เอส เค เอส อินเตอร์พาร์ท จำกัด    </t>
  </si>
  <si>
    <t xml:space="preserve">BEARING SKF 62203-2RS1 </t>
  </si>
  <si>
    <t xml:space="preserve">210265PRJ078 </t>
  </si>
  <si>
    <t>FT14-10TV STEAM TRAP 25MM PN16 1475193C "SPIRAX SARCO"</t>
  </si>
  <si>
    <t>210265TRJ047</t>
  </si>
  <si>
    <t>BALL BEARINGS 6206-2Z</t>
  </si>
  <si>
    <t>210265A87</t>
  </si>
  <si>
    <t xml:space="preserve">และรายการอื่นๆรวม 20 รายการ </t>
  </si>
  <si>
    <t xml:space="preserve"> 0275563000239</t>
  </si>
  <si>
    <t xml:space="preserve">บริษัท ซีเค.เอ็นเนอร์จี้ พลัส จำกัด         </t>
  </si>
  <si>
    <t xml:space="preserve">ว่าจ้างตรวจสอบและรับรองรายงาน การจัดการพลังงานประจำปี 2564 ของการยาสูบแห่งประเทศไทย  </t>
  </si>
  <si>
    <t>พระนครศรีอยุธยา</t>
  </si>
  <si>
    <t>BELT PVC GREEN MU50 THICKNESS : 5 mm.</t>
  </si>
  <si>
    <t xml:space="preserve">210265A88 </t>
  </si>
  <si>
    <t>SIZE : W 50 mm. x L 4,600 mm. WITH GUIDE K6 CENTER</t>
  </si>
  <si>
    <t xml:space="preserve">บริษัท บีแทค อินดัสเตรียล ออโตเมชั่น จำกัด     </t>
  </si>
  <si>
    <t xml:space="preserve">SCHMALZ VACUUM GENERATOR MODEL: SBP-C  </t>
  </si>
  <si>
    <t>210265A89</t>
  </si>
  <si>
    <t>10 S02 VS-T + VACUUM SWITCH MODEL: VS-  V-AH-T-PNP-S</t>
  </si>
  <si>
    <t xml:space="preserve">บริษัท เบนฟิฟท์ช จำกัด        </t>
  </si>
  <si>
    <t xml:space="preserve">ปั๊มลมพร้อมมอเตอร์ขนาด 1/4 HP  55.80L/MIN 36L "PUMA"      </t>
  </si>
  <si>
    <t xml:space="preserve"> 210265GT005</t>
  </si>
  <si>
    <t>0105524022589</t>
  </si>
  <si>
    <t xml:space="preserve">บริษัท ทรัยเร็กซ์ อินเตอร์เนชั่นแนล จำกัด          </t>
  </si>
  <si>
    <t xml:space="preserve">ROLLER CHAIN 05B-1 "REXNORD"   </t>
  </si>
  <si>
    <t xml:space="preserve">210265PRJ079 </t>
  </si>
  <si>
    <t xml:space="preserve">และรายการอื่นๆรวม 3  รายการ </t>
  </si>
  <si>
    <t xml:space="preserve">บริษัท เค เทรด เอ็นจิเนียริ่ง จำกัด       </t>
  </si>
  <si>
    <t>สกรูหัวจมเตเปอร์สแตนเลส SS304 M4 x 6 MM.</t>
  </si>
  <si>
    <t>210265PRJ080</t>
  </si>
  <si>
    <t xml:space="preserve">และรายการอื่นๆรวม 2  รายการ </t>
  </si>
  <si>
    <t>โคมโรงงานปีกสะท้อนเงา : VCK111/440  "VCK" พร้อมหลอดนีออน (ขั้วเขียว) LED</t>
  </si>
  <si>
    <t xml:space="preserve">DRILL HSS DIA 8.50 MM."STOCK"   </t>
  </si>
  <si>
    <t>210265P008</t>
  </si>
  <si>
    <t xml:space="preserve">และรายการอื่นๆรวม 12  รายการ </t>
  </si>
  <si>
    <t>0105529046079</t>
  </si>
  <si>
    <t xml:space="preserve">น้ำยาแปรสภาพสนิมและรองพื้นในตัว NAVY STEEL ขนาดบรรจุแกลลอนละ 5 ลิตร   </t>
  </si>
  <si>
    <t>210265PRJ081</t>
  </si>
  <si>
    <t xml:space="preserve"> 0135559001588</t>
  </si>
  <si>
    <t xml:space="preserve">บริษัท ทีเคเค เซอร์วิส เอ็นจิเนียริ่ง จำกัด   </t>
  </si>
  <si>
    <t xml:space="preserve">ว่าจ้างพร้อมอุปกรณ์ในการจัดทำและ    ติดตั้งท่อจ่ายระบบไอน้ำ เพื่อถอด FLOW  METER STEAM </t>
  </si>
  <si>
    <t xml:space="preserve">210265RR012  </t>
  </si>
  <si>
    <t>ที่อาคาร B03 ยสท.อยุธยา</t>
  </si>
  <si>
    <t xml:space="preserve">โอริงทนความร้อน ขนาด 68.5x3.5 มม.     </t>
  </si>
  <si>
    <t>210265RR013</t>
  </si>
  <si>
    <t xml:space="preserve">บริษัท ภูสุวรรณ อินเตอร์เทรด จำกัด   </t>
  </si>
  <si>
    <t xml:space="preserve">ลวดเชื่อม MG 600 DIA 2.5x250 MM.   "MESSER" </t>
  </si>
  <si>
    <t xml:space="preserve"> 0105551053660</t>
  </si>
  <si>
    <t xml:space="preserve">บริษัท นิว แอนด์ ไฮด์ จำกัด         </t>
  </si>
  <si>
    <t xml:space="preserve">บริษัท เพ็ชรไฟน์ จำกัด     </t>
  </si>
  <si>
    <t xml:space="preserve">MEAN WELL HDR-60-5 DIN RAIL POWER SUPPLY 5V 6.5A 32.5W </t>
  </si>
  <si>
    <t xml:space="preserve">บริษัท 168 อินเตอร์เนชั่นแนลเทรด จำกัด      </t>
  </si>
  <si>
    <t xml:space="preserve"> 0135563005665</t>
  </si>
  <si>
    <t>ว่าจ้างพร้อมอุปกรณ์ในการซ่อมเปลี่ยน ท่อเมนน้ำรดน้ำต้นไม้ บริเวณริมสระน้ำอาคาร B-01 ยสท.อยุธยา</t>
  </si>
  <si>
    <t xml:space="preserve"> 210265BT010 </t>
  </si>
  <si>
    <t xml:space="preserve"> 0115550010011</t>
  </si>
  <si>
    <t xml:space="preserve">บริษัท ไทยฮาท แคลิเบรชั่น จำกัด     </t>
  </si>
  <si>
    <t xml:space="preserve">ว่าจ้างพร้อมอุปกรณ์ในการ CALIBRATE FLOW I131265 </t>
  </si>
  <si>
    <t xml:space="preserve">210265RR015 </t>
  </si>
  <si>
    <t xml:space="preserve">บริษัท ไทยฮาท แคลิเบรชั่น จำกัด    </t>
  </si>
  <si>
    <t xml:space="preserve">บริษัท เอส.เค.เอส ดีไซน์ แอนด์ โปรดักชั่น  </t>
  </si>
  <si>
    <t xml:space="preserve">GUIDE FOR KNIFE DIVIDER L 770 mm. x W GUIDE FOR KNIFE DIVIDER L 770 mm. x W </t>
  </si>
  <si>
    <t>210265A93</t>
  </si>
  <si>
    <t>เอ็นจิเนียริ่ง จำกัด</t>
  </si>
  <si>
    <t xml:space="preserve"> 0145545000461</t>
  </si>
  <si>
    <t xml:space="preserve">บริษัท นานาภัณฑ์ วัสดุอุตสาหกรรม จำกัด    </t>
  </si>
  <si>
    <t>ลวดสลิงหุ้ม PVC สีใส 6 มม.</t>
  </si>
  <si>
    <t xml:space="preserve">บริษัท เค เทรด เอ็นจิเนียริ่ง จำกัด     </t>
  </si>
  <si>
    <t xml:space="preserve">4350CT เลื่อยจิ๊กซอร์ AVT ปรับรอบ  MAKITA </t>
  </si>
  <si>
    <t>210265P009</t>
  </si>
  <si>
    <t xml:space="preserve">และรายการอื่นๆรวม 4 รายการ </t>
  </si>
  <si>
    <t xml:space="preserve">บริษัท ไฮ ทอร์ค (2004) จำกัด          </t>
  </si>
  <si>
    <t xml:space="preserve">ว่าจ้างพร้อมอุปกรณในการซ่อม รถยกไฟฟ้า JUNGHEINRICH รุ่น EFG320 NO.22 ที่  </t>
  </si>
  <si>
    <t xml:space="preserve">210265R015 </t>
  </si>
  <si>
    <t>ก.คลังสินค้า ฝ.จัดหาและรักษาพัสดุ ยสท.อยุธยา</t>
  </si>
  <si>
    <t xml:space="preserve">ACRYLIC CLEAR SHEET 5 MM 4x8 FT.    </t>
  </si>
  <si>
    <t xml:space="preserve">210265ST004  </t>
  </si>
  <si>
    <t>210265A95</t>
  </si>
  <si>
    <t xml:space="preserve">และรายการอื่นๆรวม 14 รายการ </t>
  </si>
  <si>
    <t xml:space="preserve">บริษัท สยามโทแบคโค่แมชชีนส์ จำกัด      </t>
  </si>
  <si>
    <t>SUCTION TAPE Size 4,000 x 9.2 mm. Type  FTU 25</t>
  </si>
  <si>
    <t>210265A96</t>
  </si>
  <si>
    <t xml:space="preserve"> 0105494000477</t>
  </si>
  <si>
    <t xml:space="preserve">บริษัท ไซเทคเอเซีย โซลูชั่น จำกัด    </t>
  </si>
  <si>
    <t>PT 100/8 HABASIT JOINING EQUIPMENT</t>
  </si>
  <si>
    <t xml:space="preserve">210265P010  </t>
  </si>
  <si>
    <t xml:space="preserve">ห้างหุ้นส่วนจำกัด แมส แอฟฟลูเอนท์    </t>
  </si>
  <si>
    <t>BOSCH ไขควงกระแทก/บล็อคกระแทกไร้สาย GDX 18V-200</t>
  </si>
  <si>
    <t>210265P011</t>
  </si>
  <si>
    <t xml:space="preserve"> 0105552097458</t>
  </si>
  <si>
    <t xml:space="preserve">บริษัท โคเวท (ประเทศไทย) จำกัด          </t>
  </si>
  <si>
    <t xml:space="preserve"> ลวดเชื่อมเหล็กเหนียว (TIGER) KV-26   (เขียว) #2.6 มม. (20 กิโลกรัม)</t>
  </si>
  <si>
    <t>210265ST005</t>
  </si>
  <si>
    <t xml:space="preserve">บริษัท ทูลเทค แอนด์ เดคคอร์ จำกัด           </t>
  </si>
  <si>
    <t xml:space="preserve"> HYDRAULIC CYLINDER BORE 100 MM. STROKE 1500 MM. PISTON ROD DIA. 70 MM.MOUNTING</t>
  </si>
  <si>
    <t>210265TRJ048</t>
  </si>
  <si>
    <t xml:space="preserve"> FRONT FLANGE TYPE  และรายการอื่นๆรวม 1 รายการ </t>
  </si>
  <si>
    <t xml:space="preserve"> บริษัท ไฮ ทอร์ค (2004) จำกัด           </t>
  </si>
  <si>
    <t xml:space="preserve"> ว่าจ้างพร้อมอุปกรณ์ในการซ่อมเปลี่ยน อะไหล่ชุด MOTOR EPS /ชุดคานหลัง  ของรถยกไฟฟ้า ยี่ห้อ KOMATSU</t>
  </si>
  <si>
    <t>210265R016</t>
  </si>
  <si>
    <t xml:space="preserve"> รุ่น FB20EX-8 S/N:811823 กองคลังสินค้า   ฝ่ายจัดหาและรักษาพัสดุ ยสท.อยุธยา</t>
  </si>
  <si>
    <t xml:space="preserve"> บริษัท สหพีร์ เอ็นจิเนียริ่ง จำกัด   </t>
  </si>
  <si>
    <t>ว่าจ้างพร้อมอุปกรณ์ในการซ่อม    ปั๊มส่งน้ำเย็น CHP08 ติดตั้งใช้งานอยู่ที่อาคาร B-03      ยสท.อยุธยา</t>
  </si>
  <si>
    <t xml:space="preserve">210265RR017   </t>
  </si>
  <si>
    <t xml:space="preserve"> 0105539111671</t>
  </si>
  <si>
    <t xml:space="preserve">  บริษัท อ่างทองสากล จำกัด     </t>
  </si>
  <si>
    <t xml:space="preserve"> น้ำยา "CHEMOURS" ฟรีออน 134A ขนาด 56.7 กก.</t>
  </si>
  <si>
    <t xml:space="preserve"> ใบตัดสแตนเลส 4" หนา 1 มม. MAKITA (บรรจุ   10 ใบ/กล่อง)</t>
  </si>
  <si>
    <t xml:space="preserve"> 0105535033048</t>
  </si>
  <si>
    <t xml:space="preserve">บริษัท กู๊ดวิล แมชชิน จำกัด           </t>
  </si>
  <si>
    <t>KV-JP288LH ชุดกันไฟย้อน เกย์แก๊ส</t>
  </si>
  <si>
    <t>เครื่อง PROTOSVE 70 ขนาดโตนอก 375 มม. ขนาดรูใน 90มม. เจาะ PCD หนา 4 มม.และรายการอื่นๆรวม 7 รายการ</t>
  </si>
  <si>
    <t xml:space="preserve">ว่าจ้างพร้อมอุปกรณ์ในการขึ้นรูป ชิ้นงาน IDLER ROLLER ขนาด D.89.5 x 616 MM. ขนาดแกนเพลา D.25H7 x 697 MM. </t>
  </si>
  <si>
    <t xml:space="preserve">สำหรับสายพานลำเลียงแป้นบุหรี่ 11 (SCP25 MAIN LINE) ยสท.อยุธยา   และรายการอื่นๆรวม1 รายการ </t>
  </si>
  <si>
    <t xml:space="preserve">ว่าจ้างพร้อมอุปกรณ์ในการขึ้นรูป  ชิ้นงานรางสแตนเลสรับสายพาน  </t>
  </si>
  <si>
    <t>ป้อนบุหรี่เข้าเครื่องโรยบุหรี่ลงราง TF3P U2 NO.8 ยสท.อยุธยา</t>
  </si>
  <si>
    <r>
      <t xml:space="preserve">ว่าจ้างพร้อมอุปกรณ์ในการตัดเลเซอร์ขึ้นรูปชิ้นงานเพื่อใช้ผลิตแผ่น </t>
    </r>
    <r>
      <rPr>
        <sz val="14"/>
        <color theme="1"/>
        <rFont val="TH SarabunPSK"/>
        <family val="2"/>
      </rPr>
      <t xml:space="preserve">GUIDE ประคอง ROLLER </t>
    </r>
    <r>
      <rPr>
        <sz val="16"/>
        <color theme="1"/>
        <rFont val="TH SarabunPSK"/>
        <family val="2"/>
      </rPr>
      <t>ของรถโรย ชิ้นส่วนเครื่อง</t>
    </r>
  </si>
  <si>
    <t xml:space="preserve">ฝ.ผลิตด้านใบยา  อาคาร  B02 ยสท.อยุธยา                                                          </t>
  </si>
  <si>
    <t xml:space="preserve">จ้างเหมาบำรุงรักษา FREIGH LIFT สำหรับขนย้ายอุปกรณ์บริเวณ DIET PLANT  ที่ก.ผลิตยาเส้นพอง </t>
  </si>
  <si>
    <r>
      <t xml:space="preserve">ว่าจ้างพร้อมอุปกรณ์ในการขึ้นรูป ชิ้นงานดุม </t>
    </r>
    <r>
      <rPr>
        <sz val="14"/>
        <color theme="1"/>
        <rFont val="TH SarabunPSK"/>
        <family val="2"/>
      </rPr>
      <t xml:space="preserve">FAN WHEEL ชิ้นส่วนชุด FAN WHEEL(IMPELLER) รหัส 130201935  </t>
    </r>
  </si>
  <si>
    <r>
      <rPr>
        <sz val="14"/>
        <color theme="1"/>
        <rFont val="TH SarabunPSK"/>
        <family val="2"/>
      </rPr>
      <t>S/N : C-A9VS3581</t>
    </r>
    <r>
      <rPr>
        <sz val="16"/>
        <color theme="1"/>
        <rFont val="TH SarabunPSK"/>
        <family val="2"/>
      </rPr>
      <t xml:space="preserve"> ของเครื่องห่อสิบซอง </t>
    </r>
    <r>
      <rPr>
        <sz val="14"/>
        <color theme="1"/>
        <rFont val="TH SarabunPSK"/>
        <family val="2"/>
      </rPr>
      <t xml:space="preserve">DELTA-P NO.15 ที่ </t>
    </r>
    <r>
      <rPr>
        <sz val="16"/>
        <color theme="1"/>
        <rFont val="TH SarabunPSK"/>
        <family val="2"/>
      </rPr>
      <t>ก.มวนและบรรจุ ฝ.ผลิตภัณฑ์สำเร็จรูป ยสท.อยุธยา</t>
    </r>
  </si>
  <si>
    <t xml:space="preserve">     210265A10 </t>
  </si>
  <si>
    <t xml:space="preserve"> 210265A15       </t>
  </si>
  <si>
    <t xml:space="preserve">210265PRJ001   </t>
  </si>
  <si>
    <t xml:space="preserve">  210265A27   </t>
  </si>
  <si>
    <t xml:space="preserve">   210265S/A001/1 </t>
  </si>
  <si>
    <t xml:space="preserve">210265A30  </t>
  </si>
  <si>
    <t>210265A31</t>
  </si>
  <si>
    <t>210265PRJ010</t>
  </si>
  <si>
    <t xml:space="preserve"> 210265PRJ020</t>
  </si>
  <si>
    <t>210265TRJ020</t>
  </si>
  <si>
    <t>210265RR005</t>
  </si>
  <si>
    <t>210265A59</t>
  </si>
  <si>
    <t>210265A60</t>
  </si>
  <si>
    <t>210265A61</t>
  </si>
  <si>
    <t>210265A62</t>
  </si>
  <si>
    <t xml:space="preserve">210265PRJ044  </t>
  </si>
  <si>
    <t>210265C003</t>
  </si>
  <si>
    <t>210265PRJ052</t>
  </si>
  <si>
    <t>210265A74</t>
  </si>
  <si>
    <t xml:space="preserve">210265PRJ064  </t>
  </si>
  <si>
    <t>210265PRJ065</t>
  </si>
  <si>
    <t xml:space="preserve">210265TRJ037    </t>
  </si>
  <si>
    <t>210265TRJ038</t>
  </si>
  <si>
    <t xml:space="preserve">210265PRJ067 </t>
  </si>
  <si>
    <t>210265PRJ062</t>
  </si>
  <si>
    <t>210265PCR001</t>
  </si>
  <si>
    <t xml:space="preserve">210265PRJ071 </t>
  </si>
  <si>
    <t xml:space="preserve">210265A77    </t>
  </si>
  <si>
    <t xml:space="preserve">210265KJ001   </t>
  </si>
  <si>
    <t xml:space="preserve">210265BT009 </t>
  </si>
  <si>
    <t>210265A79</t>
  </si>
  <si>
    <t xml:space="preserve">210265A78  </t>
  </si>
  <si>
    <t xml:space="preserve">210265T006 </t>
  </si>
  <si>
    <t xml:space="preserve">210265A80  </t>
  </si>
  <si>
    <t>210265A81</t>
  </si>
  <si>
    <t>210265PRJ075</t>
  </si>
  <si>
    <t>210265PRJ076</t>
  </si>
  <si>
    <t xml:space="preserve">210265RR010 </t>
  </si>
  <si>
    <t xml:space="preserve">210265RR011 </t>
  </si>
  <si>
    <t xml:space="preserve">210265TRJ046  </t>
  </si>
  <si>
    <t>210265TRJ045</t>
  </si>
  <si>
    <t xml:space="preserve">210265TRJ044 </t>
  </si>
  <si>
    <t>210265TRJ043</t>
  </si>
  <si>
    <t>210265P006</t>
  </si>
  <si>
    <t xml:space="preserve">210265RR009 </t>
  </si>
  <si>
    <t>210265PRJ077</t>
  </si>
  <si>
    <t>210265RR014</t>
  </si>
  <si>
    <t>210265KJ002</t>
  </si>
  <si>
    <t xml:space="preserve">210265T007  </t>
  </si>
  <si>
    <t>210265ST003</t>
  </si>
  <si>
    <t>210265A90</t>
  </si>
  <si>
    <t>210265A91</t>
  </si>
  <si>
    <t>210265A92</t>
  </si>
  <si>
    <t xml:space="preserve">210265RR016  </t>
  </si>
  <si>
    <t>210265A94</t>
  </si>
  <si>
    <t>210265ST006</t>
  </si>
  <si>
    <t>210265RR019</t>
  </si>
  <si>
    <t>210265RR018</t>
  </si>
  <si>
    <t>210265PRJ073</t>
  </si>
  <si>
    <t>210265A76</t>
  </si>
  <si>
    <t>210265TRJ016</t>
  </si>
  <si>
    <t>210265T004</t>
  </si>
  <si>
    <t>210265TRJ017</t>
  </si>
  <si>
    <t>210265TRJ018</t>
  </si>
  <si>
    <t>210265TRJ019</t>
  </si>
  <si>
    <t xml:space="preserve">210265TRJ021   </t>
  </si>
  <si>
    <t xml:space="preserve">210265TRJ029 </t>
  </si>
  <si>
    <t xml:space="preserve"> PROFILE ON TOP COVER DIA 9.5 MM. =3PCS.PITCH 110 MM.และรายการอื่นๆรวม 1 รายการ  </t>
  </si>
  <si>
    <t>0103560015684</t>
  </si>
  <si>
    <t xml:space="preserve"> ห้างหุ้นส่วนจำกัด เฮงดี คอร์ป</t>
  </si>
  <si>
    <t>จ้างเหมาซ่อมแซมบันไดหินแกรนิตและทางเท้า บริเวณด้านหน้าอาคาร B-01 ยสท.พระนครศรีอยุธยา</t>
  </si>
  <si>
    <t>ห้างหุ้นส่วนจำกัด เฮงดี คอร์ป</t>
  </si>
  <si>
    <t xml:space="preserve">ฝ่ายวิศวกรรมและพัฒนา </t>
  </si>
  <si>
    <t>ซื้อวัสดุ-อุปกรณ์เพื่อใช้ในการซ่อมแซมห้องน้ำห้องส้วม ชาย-หญิงภายในอาคารB-08</t>
  </si>
  <si>
    <t>ว่าจ้างพร้อมอุปกรณ์ในการซ่อมเครื่องกลึง HARRISON รุ่น M450 (รหัสเครื่องจักร 100002351)</t>
  </si>
  <si>
    <t>ติดตั้งใช้งานที่ ก.ผลิตชิ้นส่วนฯ    ฝ.วิศวกรรมฯ อาคาร B08 ยสท.อยุธยา</t>
  </si>
  <si>
    <t>THERMAL OVERLOAD RELAY "FUJI" รุ่น TK 12W</t>
  </si>
  <si>
    <t>เพลาอลูมิเนียม #6063       (ลวดเชื่อมอลูมิเนียม) ขนาด 1/4"x1 เมตร</t>
  </si>
  <si>
    <t xml:space="preserve">ว่าจ้างพร้อมอุปกรณ์ในการซ่อมเปลี่ยน    MAINBOARD/HOUR METER BATTERYของรถยกไฟฟ้า HYSTER </t>
  </si>
  <si>
    <t>PENTAIR Polydepth Polypropylene 5m  934in [SZ] Model : PD-5-934 (P/N : 155749-43)</t>
  </si>
  <si>
    <t xml:space="preserve">CAST NYLON IVORY SHEET 6MM. 1 x 2 M. </t>
  </si>
  <si>
    <t xml:space="preserve"> จำกัด </t>
  </si>
  <si>
    <t xml:space="preserve">บริษัท เอส เอ็ม วาย คอร์ปอเรชั่น กรุ๊ป </t>
  </si>
  <si>
    <t xml:space="preserve">ซ่อมเครื่องกัดลอกแบบ GRAFFENSTADEN  รหัสเครื่องจักร 100003391  </t>
  </si>
  <si>
    <t>TIMING BELT MAT:PU.WHITE STEEL    CORD(TRULY ENDLESS) TYPE 10T10-370 WITH</t>
  </si>
  <si>
    <t xml:space="preserve">LOCTITE 401 INSTANT ADHESIVE 20 G. HEN- 401-20 </t>
  </si>
  <si>
    <t>CLUTCH</t>
  </si>
  <si>
    <t>POLY V-BELT 3PJ336</t>
  </si>
  <si>
    <t xml:space="preserve">POM WHITE SHEET 3MM. 1x2 M. </t>
  </si>
  <si>
    <t xml:space="preserve">บริษัท สไปแร็กซ์ ซาร์โก (ประเทศไทย) </t>
  </si>
  <si>
    <t xml:space="preserve">FIBER UNIT "OMRON" E32-T11N 2M   </t>
  </si>
  <si>
    <t xml:space="preserve">BELT E8/2 UO/V15LG (GROOVE) W: 95 mm. x   L: 1,700 mm. Endless with K6 notched </t>
  </si>
  <si>
    <t>ECOFIT T8 20W 650K 1200 MM."PHILIPS"</t>
  </si>
  <si>
    <t xml:space="preserve">ว่าจ้างพร้อมอุปกรณ์ในการ CALIBRATE FLOW METER ของระบบอัดอากาศ จำนวน 3 ตัว </t>
  </si>
  <si>
    <t xml:space="preserve">BALL BEARING 608-2Z/C3 </t>
  </si>
  <si>
    <t>จ้างเหมาปรับปรุงห้องเก็บพัสดุอะไหล่ด้านในห้องดูดฝุ่นรวมและติดตั้งประตูเหล็กนิรภัย ขนาดประมาณ 1.6x2.0 เมตร</t>
  </si>
  <si>
    <t>พร้อมอุปกรณ์ที่ห้องเก็บพัสดุอะไหล่ด้านในห้องดูดฝุ่นรวม อาคาร B-02 ยสท. อยุธยา</t>
  </si>
  <si>
    <t>210165S/A.01</t>
  </si>
  <si>
    <t>รายการจัดซื้อจัดจ้าง</t>
  </si>
  <si>
    <t>จำนวน (รายการ)</t>
  </si>
  <si>
    <t>จำนวน (บาท)
(รวม VAT 7%)</t>
  </si>
  <si>
    <t>เดือนตุลาคม 2564</t>
  </si>
  <si>
    <t>เดือนพฤศจิกายน 2564</t>
  </si>
  <si>
    <t>เดือนธันวาคม 2564</t>
  </si>
  <si>
    <t>รายละเอียดแนบท้ายประกาศผลผู้ชนะการจัดซื้อจัดจ้างหรือผู้ได้รับการคัดเลือก
และสาระสำคัญของสัญญาหรือข้อตกลงเป็นหนังสือ
ประจำไตรมาสที่ 1 (เดือนตุลาคม พ.ศ. 2564 ถึง เดือนธันวาคม พ.ศ. 2564)</t>
  </si>
  <si>
    <t>รวมงานจัดซื้อจัดจ้างไตรมาสที่ 1</t>
  </si>
  <si>
    <t>เป็นจำนวนเงิน</t>
  </si>
  <si>
    <t>(สิบเอ็ดล้านสามแสนสองหมื่นเจ็ดพันหกสิบสามบาทยี่สิบเจ็ดสตางค์)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</si>
</sst>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B1d\-mmm\-yy"/>
    <numFmt numFmtId="188" formatCode="[$-107041E]d\ mmm\ yy;@"/>
    <numFmt numFmtId="189" formatCode="[$-1070000]d/m/yy;@"/>
    <numFmt numFmtId="190" formatCode="[$-F800]dddd\,\ mmmm\ dd\,\ yyyy"/>
  </numFmts>
  <fonts count="1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</font>
    <font>
      <sz val="15"/>
      <color theme="1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  <font>
      <sz val="11"/>
      <color rgb="FF006100"/>
      <name val="TH SarabunPSK"/>
      <family val="2"/>
      <charset val="222"/>
    </font>
    <font>
      <sz val="14"/>
      <color theme="1"/>
      <name val="TH SarabunPSK"/>
      <family val="2"/>
    </font>
    <font>
      <sz val="16"/>
      <color rgb="FFFF0000"/>
      <name val="TH SarabunPSK"/>
      <family val="2"/>
    </font>
    <font>
      <sz val="16"/>
      <color rgb="FF333333"/>
      <name val="TH SarabunPSK"/>
      <family val="2"/>
    </font>
    <font>
      <sz val="16"/>
      <color theme="1"/>
      <name val="Tahoma"/>
      <family val="2"/>
      <scheme val="minor"/>
    </font>
    <font>
      <sz val="20"/>
      <color theme="1"/>
      <name val="TH SarabunPSK"/>
      <family val="2"/>
    </font>
    <font>
      <b/>
      <sz val="20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" fillId="0" borderId="0"/>
    <xf numFmtId="0" fontId="7" fillId="3" borderId="0" applyNumberFormat="0" applyBorder="0" applyAlignment="0" applyProtection="0"/>
  </cellStyleXfs>
  <cellXfs count="251">
    <xf numFmtId="0" fontId="0" fillId="0" borderId="0" xfId="0"/>
    <xf numFmtId="0" fontId="3" fillId="0" borderId="7" xfId="0" applyFont="1" applyBorder="1" applyAlignment="1">
      <alignment vertical="center"/>
    </xf>
    <xf numFmtId="0" fontId="4" fillId="0" borderId="0" xfId="0" applyFont="1"/>
    <xf numFmtId="0" fontId="4" fillId="0" borderId="7" xfId="0" applyFont="1" applyBorder="1" applyAlignment="1">
      <alignment horizontal="center"/>
    </xf>
    <xf numFmtId="0" fontId="4" fillId="0" borderId="7" xfId="0" applyFont="1" applyBorder="1"/>
    <xf numFmtId="0" fontId="4" fillId="0" borderId="10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quotePrefix="1" applyFont="1" applyBorder="1" applyAlignment="1">
      <alignment horizontal="center"/>
    </xf>
    <xf numFmtId="0" fontId="4" fillId="0" borderId="4" xfId="0" applyFont="1" applyBorder="1"/>
    <xf numFmtId="0" fontId="4" fillId="2" borderId="7" xfId="0" applyFont="1" applyFill="1" applyBorder="1"/>
    <xf numFmtId="0" fontId="4" fillId="0" borderId="0" xfId="0" applyFont="1" applyAlignment="1"/>
    <xf numFmtId="0" fontId="4" fillId="2" borderId="1" xfId="0" quotePrefix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4" xfId="0" applyFont="1" applyBorder="1" applyAlignment="1">
      <alignment horizontal="center"/>
    </xf>
    <xf numFmtId="0" fontId="4" fillId="0" borderId="4" xfId="0" quotePrefix="1" applyFont="1" applyBorder="1" applyAlignment="1">
      <alignment horizontal="center"/>
    </xf>
    <xf numFmtId="0" fontId="4" fillId="0" borderId="0" xfId="0" applyFont="1" applyBorder="1"/>
    <xf numFmtId="0" fontId="5" fillId="0" borderId="0" xfId="0" applyFont="1" applyBorder="1" applyAlignment="1">
      <alignment horizontal="center" wrapText="1"/>
    </xf>
    <xf numFmtId="0" fontId="4" fillId="0" borderId="1" xfId="0" applyFont="1" applyBorder="1" applyAlignment="1">
      <alignment vertical="center"/>
    </xf>
    <xf numFmtId="0" fontId="4" fillId="0" borderId="5" xfId="0" applyFont="1" applyBorder="1" applyAlignment="1">
      <alignment horizontal="center"/>
    </xf>
    <xf numFmtId="0" fontId="4" fillId="2" borderId="2" xfId="0" applyFont="1" applyFill="1" applyBorder="1"/>
    <xf numFmtId="0" fontId="4" fillId="2" borderId="1" xfId="4" quotePrefix="1" applyFont="1" applyFill="1" applyBorder="1" applyAlignment="1">
      <alignment horizontal="center" vertical="center" wrapText="1"/>
    </xf>
    <xf numFmtId="0" fontId="4" fillId="0" borderId="2" xfId="0" applyFont="1" applyFill="1" applyBorder="1"/>
    <xf numFmtId="0" fontId="4" fillId="2" borderId="4" xfId="0" quotePrefix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8" fillId="0" borderId="1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4" fillId="0" borderId="1" xfId="0" applyFont="1" applyFill="1" applyBorder="1" applyAlignment="1">
      <alignment horizontal="center"/>
    </xf>
    <xf numFmtId="0" fontId="4" fillId="0" borderId="4" xfId="4" quotePrefix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43" fontId="4" fillId="0" borderId="1" xfId="1" applyFont="1" applyBorder="1" applyAlignment="1">
      <alignment horizontal="center"/>
    </xf>
    <xf numFmtId="188" fontId="4" fillId="0" borderId="1" xfId="0" quotePrefix="1" applyNumberFormat="1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left"/>
    </xf>
    <xf numFmtId="43" fontId="4" fillId="0" borderId="7" xfId="1" applyFont="1" applyBorder="1" applyAlignment="1">
      <alignment horizontal="center"/>
    </xf>
    <xf numFmtId="189" fontId="4" fillId="0" borderId="7" xfId="0" applyNumberFormat="1" applyFont="1" applyFill="1" applyBorder="1" applyAlignment="1">
      <alignment horizontal="center"/>
    </xf>
    <xf numFmtId="0" fontId="4" fillId="0" borderId="10" xfId="0" applyFont="1" applyFill="1" applyBorder="1" applyAlignment="1">
      <alignment horizontal="left"/>
    </xf>
    <xf numFmtId="0" fontId="4" fillId="0" borderId="4" xfId="0" applyFont="1" applyBorder="1" applyAlignment="1">
      <alignment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11" xfId="0" applyFont="1" applyFill="1" applyBorder="1" applyAlignment="1">
      <alignment horizontal="center"/>
    </xf>
    <xf numFmtId="0" fontId="4" fillId="0" borderId="1" xfId="4" quotePrefix="1" applyFont="1" applyFill="1" applyBorder="1" applyAlignment="1">
      <alignment horizontal="center"/>
    </xf>
    <xf numFmtId="187" fontId="4" fillId="2" borderId="7" xfId="0" applyNumberFormat="1" applyFont="1" applyFill="1" applyBorder="1" applyAlignment="1">
      <alignment horizontal="center"/>
    </xf>
    <xf numFmtId="187" fontId="4" fillId="2" borderId="1" xfId="0" quotePrefix="1" applyNumberFormat="1" applyFont="1" applyFill="1" applyBorder="1" applyAlignment="1">
      <alignment horizontal="center"/>
    </xf>
    <xf numFmtId="0" fontId="4" fillId="0" borderId="9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left"/>
    </xf>
    <xf numFmtId="188" fontId="4" fillId="0" borderId="4" xfId="0" quotePrefix="1" applyNumberFormat="1" applyFont="1" applyFill="1" applyBorder="1" applyAlignment="1">
      <alignment horizontal="center"/>
    </xf>
    <xf numFmtId="0" fontId="4" fillId="0" borderId="8" xfId="0" applyFont="1" applyFill="1" applyBorder="1" applyAlignment="1">
      <alignment horizontal="left"/>
    </xf>
    <xf numFmtId="187" fontId="4" fillId="2" borderId="3" xfId="0" quotePrefix="1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187" fontId="4" fillId="2" borderId="11" xfId="0" applyNumberFormat="1" applyFont="1" applyFill="1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187" fontId="4" fillId="2" borderId="7" xfId="0" quotePrefix="1" applyNumberFormat="1" applyFont="1" applyFill="1" applyBorder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10" xfId="0" applyFont="1" applyBorder="1" applyAlignment="1">
      <alignment vertical="center"/>
    </xf>
    <xf numFmtId="187" fontId="4" fillId="2" borderId="4" xfId="0" quotePrefix="1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Border="1" applyAlignment="1">
      <alignment vertical="center"/>
    </xf>
    <xf numFmtId="187" fontId="4" fillId="2" borderId="1" xfId="0" applyNumberFormat="1" applyFont="1" applyFill="1" applyBorder="1" applyAlignment="1">
      <alignment horizontal="center"/>
    </xf>
    <xf numFmtId="0" fontId="4" fillId="0" borderId="9" xfId="0" applyFont="1" applyBorder="1" applyAlignment="1">
      <alignment vertical="center"/>
    </xf>
    <xf numFmtId="0" fontId="4" fillId="0" borderId="4" xfId="0" applyFont="1" applyFill="1" applyBorder="1" applyAlignment="1">
      <alignment horizontal="left"/>
    </xf>
    <xf numFmtId="0" fontId="4" fillId="0" borderId="3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7" xfId="0" applyFont="1" applyFill="1" applyBorder="1"/>
    <xf numFmtId="0" fontId="4" fillId="0" borderId="0" xfId="0" applyFont="1" applyFill="1" applyBorder="1"/>
    <xf numFmtId="43" fontId="4" fillId="0" borderId="4" xfId="1" applyFont="1" applyBorder="1" applyAlignment="1">
      <alignment horizontal="center"/>
    </xf>
    <xf numFmtId="0" fontId="4" fillId="0" borderId="10" xfId="0" applyFont="1" applyFill="1" applyBorder="1" applyAlignment="1"/>
    <xf numFmtId="0" fontId="4" fillId="0" borderId="4" xfId="0" applyFont="1" applyFill="1" applyBorder="1" applyAlignment="1">
      <alignment horizontal="center"/>
    </xf>
    <xf numFmtId="189" fontId="4" fillId="0" borderId="4" xfId="0" applyNumberFormat="1" applyFont="1" applyFill="1" applyBorder="1" applyAlignment="1">
      <alignment horizontal="center"/>
    </xf>
    <xf numFmtId="0" fontId="4" fillId="0" borderId="1" xfId="0" quotePrefix="1" applyFont="1" applyFill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4" fillId="0" borderId="1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5" quotePrefix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/>
    </xf>
    <xf numFmtId="188" fontId="4" fillId="0" borderId="6" xfId="0" quotePrefix="1" applyNumberFormat="1" applyFont="1" applyFill="1" applyBorder="1" applyAlignment="1">
      <alignment horizontal="center"/>
    </xf>
    <xf numFmtId="0" fontId="4" fillId="0" borderId="0" xfId="0" applyFont="1" applyFill="1"/>
    <xf numFmtId="0" fontId="4" fillId="0" borderId="0" xfId="0" applyFont="1" applyAlignment="1">
      <alignment horizontal="left" vertical="center"/>
    </xf>
    <xf numFmtId="43" fontId="4" fillId="0" borderId="3" xfId="1" applyFont="1" applyBorder="1" applyAlignment="1">
      <alignment horizontal="center"/>
    </xf>
    <xf numFmtId="43" fontId="4" fillId="0" borderId="11" xfId="1" applyFont="1" applyBorder="1" applyAlignment="1">
      <alignment horizontal="center"/>
    </xf>
    <xf numFmtId="0" fontId="4" fillId="2" borderId="4" xfId="0" quotePrefix="1" applyFont="1" applyFill="1" applyBorder="1" applyAlignment="1">
      <alignment horizontal="center"/>
    </xf>
    <xf numFmtId="0" fontId="4" fillId="0" borderId="6" xfId="0" applyFont="1" applyBorder="1" applyAlignment="1">
      <alignment vertical="center"/>
    </xf>
    <xf numFmtId="0" fontId="4" fillId="2" borderId="4" xfId="0" applyFont="1" applyFill="1" applyBorder="1" applyAlignment="1">
      <alignment horizontal="center"/>
    </xf>
    <xf numFmtId="0" fontId="4" fillId="2" borderId="7" xfId="6" applyFont="1" applyFill="1" applyBorder="1" applyAlignment="1">
      <alignment vertical="center"/>
    </xf>
    <xf numFmtId="0" fontId="4" fillId="2" borderId="4" xfId="6" applyFont="1" applyFill="1" applyBorder="1" applyAlignment="1">
      <alignment vertical="center"/>
    </xf>
    <xf numFmtId="43" fontId="4" fillId="0" borderId="6" xfId="1" applyFont="1" applyBorder="1" applyAlignment="1">
      <alignment horizontal="center"/>
    </xf>
    <xf numFmtId="0" fontId="4" fillId="0" borderId="4" xfId="0" applyFont="1" applyFill="1" applyBorder="1"/>
    <xf numFmtId="187" fontId="4" fillId="2" borderId="4" xfId="0" applyNumberFormat="1" applyFont="1" applyFill="1" applyBorder="1" applyAlignment="1">
      <alignment horizontal="center"/>
    </xf>
    <xf numFmtId="0" fontId="4" fillId="0" borderId="2" xfId="0" quotePrefix="1" applyFont="1" applyBorder="1" applyAlignment="1">
      <alignment horizontal="center"/>
    </xf>
    <xf numFmtId="43" fontId="4" fillId="0" borderId="2" xfId="1" applyFont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43" fontId="4" fillId="0" borderId="8" xfId="1" applyFont="1" applyBorder="1" applyAlignment="1">
      <alignment horizontal="center"/>
    </xf>
    <xf numFmtId="0" fontId="10" fillId="0" borderId="0" xfId="0" quotePrefix="1" applyFont="1" applyAlignment="1">
      <alignment horizontal="center"/>
    </xf>
    <xf numFmtId="0" fontId="4" fillId="2" borderId="8" xfId="6" applyFont="1" applyFill="1" applyBorder="1" applyAlignment="1">
      <alignment vertical="center"/>
    </xf>
    <xf numFmtId="188" fontId="4" fillId="0" borderId="3" xfId="0" quotePrefix="1" applyNumberFormat="1" applyFont="1" applyFill="1" applyBorder="1" applyAlignment="1">
      <alignment horizontal="center"/>
    </xf>
    <xf numFmtId="0" fontId="4" fillId="0" borderId="6" xfId="0" applyFont="1" applyFill="1" applyBorder="1"/>
    <xf numFmtId="43" fontId="4" fillId="0" borderId="9" xfId="1" applyFont="1" applyBorder="1" applyAlignment="1">
      <alignment horizontal="center"/>
    </xf>
    <xf numFmtId="0" fontId="4" fillId="0" borderId="10" xfId="0" applyFont="1" applyFill="1" applyBorder="1"/>
    <xf numFmtId="188" fontId="4" fillId="0" borderId="9" xfId="0" quotePrefix="1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4" xfId="0" applyFont="1" applyFill="1" applyBorder="1" applyAlignment="1"/>
    <xf numFmtId="0" fontId="4" fillId="0" borderId="7" xfId="0" applyFont="1" applyFill="1" applyBorder="1" applyAlignment="1"/>
    <xf numFmtId="0" fontId="4" fillId="0" borderId="11" xfId="0" applyFont="1" applyFill="1" applyBorder="1"/>
    <xf numFmtId="0" fontId="4" fillId="0" borderId="3" xfId="0" quotePrefix="1" applyFont="1" applyFill="1" applyBorder="1" applyAlignment="1">
      <alignment horizontal="center"/>
    </xf>
    <xf numFmtId="0" fontId="10" fillId="0" borderId="0" xfId="0" applyFont="1"/>
    <xf numFmtId="0" fontId="4" fillId="0" borderId="3" xfId="0" quotePrefix="1" applyFont="1" applyBorder="1" applyAlignment="1">
      <alignment horizontal="center"/>
    </xf>
    <xf numFmtId="0" fontId="10" fillId="0" borderId="0" xfId="0" quotePrefix="1" applyFont="1"/>
    <xf numFmtId="0" fontId="9" fillId="0" borderId="4" xfId="0" applyFont="1" applyBorder="1" applyAlignment="1">
      <alignment vertical="center"/>
    </xf>
    <xf numFmtId="0" fontId="4" fillId="0" borderId="8" xfId="0" applyFont="1" applyFill="1" applyBorder="1"/>
    <xf numFmtId="0" fontId="5" fillId="0" borderId="9" xfId="0" applyFont="1" applyBorder="1" applyAlignment="1">
      <alignment vertical="center"/>
    </xf>
    <xf numFmtId="0" fontId="4" fillId="2" borderId="10" xfId="6" applyFont="1" applyFill="1" applyBorder="1" applyAlignment="1">
      <alignment vertical="center"/>
    </xf>
    <xf numFmtId="0" fontId="4" fillId="2" borderId="1" xfId="0" quotePrefix="1" applyFont="1" applyFill="1" applyBorder="1" applyAlignment="1">
      <alignment horizontal="center"/>
    </xf>
    <xf numFmtId="0" fontId="4" fillId="0" borderId="3" xfId="0" applyFont="1" applyBorder="1"/>
    <xf numFmtId="0" fontId="4" fillId="0" borderId="1" xfId="5" quotePrefix="1" applyFont="1" applyFill="1" applyBorder="1" applyAlignment="1">
      <alignment horizontal="center"/>
    </xf>
    <xf numFmtId="0" fontId="4" fillId="0" borderId="9" xfId="0" applyFont="1" applyBorder="1"/>
    <xf numFmtId="0" fontId="4" fillId="0" borderId="1" xfId="4" quotePrefix="1" applyFont="1" applyFill="1" applyBorder="1" applyAlignment="1">
      <alignment horizontal="center" vertical="center" wrapText="1"/>
    </xf>
    <xf numFmtId="0" fontId="11" fillId="0" borderId="7" xfId="0" applyFont="1" applyBorder="1" applyAlignment="1">
      <alignment vertical="center"/>
    </xf>
    <xf numFmtId="0" fontId="4" fillId="0" borderId="1" xfId="0" applyFont="1" applyBorder="1"/>
    <xf numFmtId="0" fontId="4" fillId="0" borderId="8" xfId="0" applyFont="1" applyBorder="1" applyAlignment="1">
      <alignment horizontal="center"/>
    </xf>
    <xf numFmtId="4" fontId="4" fillId="0" borderId="1" xfId="0" applyNumberFormat="1" applyFont="1" applyBorder="1" applyAlignment="1">
      <alignment horizontal="right"/>
    </xf>
    <xf numFmtId="187" fontId="4" fillId="0" borderId="7" xfId="0" applyNumberFormat="1" applyFont="1" applyFill="1" applyBorder="1" applyAlignment="1">
      <alignment horizontal="center"/>
    </xf>
    <xf numFmtId="0" fontId="4" fillId="0" borderId="8" xfId="0" applyFont="1" applyBorder="1" applyAlignment="1">
      <alignment vertical="center"/>
    </xf>
    <xf numFmtId="4" fontId="4" fillId="0" borderId="4" xfId="0" applyNumberFormat="1" applyFont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center"/>
    </xf>
    <xf numFmtId="4" fontId="4" fillId="0" borderId="7" xfId="0" applyNumberFormat="1" applyFont="1" applyFill="1" applyBorder="1" applyAlignment="1">
      <alignment horizontal="right"/>
    </xf>
    <xf numFmtId="4" fontId="4" fillId="0" borderId="4" xfId="0" applyNumberFormat="1" applyFont="1" applyBorder="1" applyAlignment="1">
      <alignment horizontal="right"/>
    </xf>
    <xf numFmtId="0" fontId="4" fillId="0" borderId="4" xfId="0" applyFont="1" applyFill="1" applyBorder="1" applyAlignment="1">
      <alignment horizontal="right"/>
    </xf>
    <xf numFmtId="4" fontId="4" fillId="0" borderId="2" xfId="0" applyNumberFormat="1" applyFont="1" applyBorder="1" applyAlignment="1">
      <alignment horizontal="right"/>
    </xf>
    <xf numFmtId="0" fontId="4" fillId="0" borderId="3" xfId="0" applyFont="1" applyFill="1" applyBorder="1"/>
    <xf numFmtId="0" fontId="4" fillId="0" borderId="7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4" xfId="0" quotePrefix="1" applyFont="1" applyFill="1" applyBorder="1" applyAlignment="1">
      <alignment horizontal="center"/>
    </xf>
    <xf numFmtId="0" fontId="4" fillId="0" borderId="9" xfId="0" applyFont="1" applyFill="1" applyBorder="1" applyAlignment="1"/>
    <xf numFmtId="190" fontId="4" fillId="0" borderId="1" xfId="0" quotePrefix="1" applyNumberFormat="1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0" borderId="0" xfId="0" applyFont="1" applyFill="1" applyBorder="1" applyAlignment="1"/>
    <xf numFmtId="190" fontId="4" fillId="0" borderId="4" xfId="0" quotePrefix="1" applyNumberFormat="1" applyFont="1" applyFill="1" applyBorder="1" applyAlignment="1">
      <alignment horizontal="center"/>
    </xf>
    <xf numFmtId="0" fontId="4" fillId="0" borderId="3" xfId="0" applyFont="1" applyFill="1" applyBorder="1" applyAlignment="1"/>
    <xf numFmtId="0" fontId="4" fillId="0" borderId="11" xfId="0" applyFont="1" applyFill="1" applyBorder="1" applyAlignment="1"/>
    <xf numFmtId="0" fontId="4" fillId="0" borderId="6" xfId="0" applyFont="1" applyFill="1" applyBorder="1" applyAlignment="1"/>
    <xf numFmtId="0" fontId="4" fillId="0" borderId="1" xfId="0" applyFont="1" applyFill="1" applyBorder="1" applyAlignment="1"/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89" fontId="4" fillId="0" borderId="7" xfId="0" applyNumberFormat="1" applyFont="1" applyBorder="1"/>
    <xf numFmtId="189" fontId="4" fillId="0" borderId="11" xfId="0" applyNumberFormat="1" applyFont="1" applyBorder="1"/>
    <xf numFmtId="0" fontId="4" fillId="0" borderId="10" xfId="0" applyFont="1" applyBorder="1" applyAlignment="1">
      <alignment horizontal="left"/>
    </xf>
    <xf numFmtId="0" fontId="4" fillId="0" borderId="1" xfId="0" applyFont="1" applyBorder="1" applyAlignment="1">
      <alignment horizontal="left" indent="2"/>
    </xf>
    <xf numFmtId="0" fontId="4" fillId="0" borderId="7" xfId="0" applyFont="1" applyBorder="1" applyAlignment="1">
      <alignment horizontal="left" indent="2"/>
    </xf>
    <xf numFmtId="0" fontId="4" fillId="0" borderId="7" xfId="0" applyFont="1" applyFill="1" applyBorder="1" applyAlignment="1">
      <alignment horizontal="left" indent="2"/>
    </xf>
    <xf numFmtId="0" fontId="4" fillId="0" borderId="4" xfId="0" applyFont="1" applyFill="1" applyBorder="1" applyAlignment="1">
      <alignment horizontal="left" indent="2"/>
    </xf>
    <xf numFmtId="0" fontId="4" fillId="0" borderId="1" xfId="0" applyFont="1" applyFill="1" applyBorder="1" applyAlignment="1">
      <alignment horizontal="left" indent="2"/>
    </xf>
    <xf numFmtId="0" fontId="4" fillId="0" borderId="0" xfId="0" applyFont="1" applyFill="1" applyAlignment="1">
      <alignment horizontal="left" indent="2"/>
    </xf>
    <xf numFmtId="0" fontId="4" fillId="0" borderId="2" xfId="0" applyFont="1" applyFill="1" applyBorder="1" applyAlignment="1">
      <alignment horizontal="left" indent="2"/>
    </xf>
    <xf numFmtId="0" fontId="4" fillId="0" borderId="8" xfId="0" applyFont="1" applyFill="1" applyBorder="1" applyAlignment="1">
      <alignment horizontal="left" indent="2"/>
    </xf>
    <xf numFmtId="0" fontId="4" fillId="0" borderId="9" xfId="0" applyFont="1" applyFill="1" applyBorder="1" applyAlignment="1">
      <alignment horizontal="left" indent="2"/>
    </xf>
    <xf numFmtId="0" fontId="4" fillId="0" borderId="10" xfId="0" applyFont="1" applyFill="1" applyBorder="1" applyAlignment="1">
      <alignment horizontal="left" indent="2"/>
    </xf>
    <xf numFmtId="0" fontId="9" fillId="0" borderId="0" xfId="0" applyFont="1" applyFill="1" applyAlignment="1">
      <alignment horizontal="left" indent="2"/>
    </xf>
    <xf numFmtId="0" fontId="9" fillId="0" borderId="7" xfId="0" applyFont="1" applyFill="1" applyBorder="1" applyAlignment="1">
      <alignment horizontal="left" indent="2"/>
    </xf>
    <xf numFmtId="0" fontId="4" fillId="0" borderId="7" xfId="0" applyFont="1" applyFill="1" applyBorder="1" applyAlignment="1">
      <alignment horizontal="left" vertical="center" indent="2"/>
    </xf>
    <xf numFmtId="0" fontId="4" fillId="0" borderId="0" xfId="0" applyFont="1" applyFill="1" applyBorder="1" applyAlignment="1">
      <alignment horizontal="left" indent="2"/>
    </xf>
    <xf numFmtId="0" fontId="4" fillId="0" borderId="11" xfId="0" applyFont="1" applyFill="1" applyBorder="1" applyAlignment="1">
      <alignment horizontal="left" indent="2"/>
    </xf>
    <xf numFmtId="0" fontId="4" fillId="0" borderId="5" xfId="0" applyFont="1" applyFill="1" applyBorder="1" applyAlignment="1">
      <alignment horizontal="left" indent="2"/>
    </xf>
    <xf numFmtId="0" fontId="4" fillId="0" borderId="3" xfId="0" applyFont="1" applyFill="1" applyBorder="1" applyAlignment="1">
      <alignment horizontal="left" indent="2"/>
    </xf>
    <xf numFmtId="0" fontId="5" fillId="0" borderId="1" xfId="0" applyFont="1" applyFill="1" applyBorder="1" applyAlignment="1">
      <alignment horizontal="left" indent="2"/>
    </xf>
    <xf numFmtId="0" fontId="5" fillId="0" borderId="7" xfId="0" applyFont="1" applyFill="1" applyBorder="1" applyAlignment="1">
      <alignment horizontal="left" indent="2"/>
    </xf>
    <xf numFmtId="0" fontId="5" fillId="0" borderId="0" xfId="0" applyFont="1" applyBorder="1" applyAlignment="1">
      <alignment horizontal="left" indent="2"/>
    </xf>
    <xf numFmtId="0" fontId="11" fillId="0" borderId="7" xfId="0" applyFont="1" applyBorder="1" applyAlignment="1">
      <alignment horizontal="left" indent="2"/>
    </xf>
    <xf numFmtId="0" fontId="4" fillId="0" borderId="4" xfId="0" applyFont="1" applyBorder="1" applyAlignment="1">
      <alignment horizontal="left" indent="2"/>
    </xf>
    <xf numFmtId="0" fontId="4" fillId="0" borderId="0" xfId="0" applyFont="1" applyAlignment="1">
      <alignment horizontal="left" indent="2"/>
    </xf>
    <xf numFmtId="0" fontId="4" fillId="0" borderId="9" xfId="0" applyFont="1" applyBorder="1" applyAlignment="1">
      <alignment horizontal="left" indent="2"/>
    </xf>
    <xf numFmtId="0" fontId="4" fillId="0" borderId="10" xfId="0" applyFont="1" applyBorder="1" applyAlignment="1">
      <alignment horizontal="left" indent="2"/>
    </xf>
    <xf numFmtId="0" fontId="4" fillId="0" borderId="7" xfId="0" applyFont="1" applyFill="1" applyBorder="1" applyAlignment="1">
      <alignment horizontal="left" indent="3"/>
    </xf>
    <xf numFmtId="190" fontId="4" fillId="0" borderId="1" xfId="0" quotePrefix="1" applyNumberFormat="1" applyFont="1" applyFill="1" applyBorder="1" applyAlignment="1">
      <alignment horizontal="left" indent="2"/>
    </xf>
    <xf numFmtId="0" fontId="4" fillId="0" borderId="1" xfId="0" applyFont="1" applyBorder="1" applyAlignment="1">
      <alignment horizontal="left" vertical="center" indent="2"/>
    </xf>
    <xf numFmtId="0" fontId="11" fillId="0" borderId="4" xfId="0" applyFont="1" applyBorder="1" applyAlignment="1">
      <alignment horizontal="left" indent="2"/>
    </xf>
    <xf numFmtId="0" fontId="4" fillId="0" borderId="7" xfId="0" applyFont="1" applyFill="1" applyBorder="1" applyAlignment="1">
      <alignment horizontal="left" indent="5"/>
    </xf>
    <xf numFmtId="0" fontId="4" fillId="0" borderId="10" xfId="0" applyFont="1" applyFill="1" applyBorder="1" applyAlignment="1">
      <alignment horizontal="left" indent="5"/>
    </xf>
    <xf numFmtId="43" fontId="6" fillId="0" borderId="0" xfId="0" applyNumberFormat="1" applyFont="1"/>
    <xf numFmtId="0" fontId="4" fillId="2" borderId="0" xfId="0" applyFont="1" applyFill="1"/>
    <xf numFmtId="0" fontId="4" fillId="2" borderId="9" xfId="0" applyFont="1" applyFill="1" applyBorder="1" applyAlignment="1">
      <alignment vertical="center"/>
    </xf>
    <xf numFmtId="43" fontId="4" fillId="2" borderId="1" xfId="1" applyFont="1" applyFill="1" applyBorder="1" applyAlignment="1">
      <alignment horizontal="center"/>
    </xf>
    <xf numFmtId="188" fontId="4" fillId="2" borderId="1" xfId="0" quotePrefix="1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left" indent="2"/>
    </xf>
    <xf numFmtId="0" fontId="4" fillId="2" borderId="2" xfId="0" applyFont="1" applyFill="1" applyBorder="1" applyAlignment="1">
      <alignment horizontal="center"/>
    </xf>
    <xf numFmtId="0" fontId="4" fillId="2" borderId="8" xfId="0" applyFont="1" applyFill="1" applyBorder="1"/>
    <xf numFmtId="0" fontId="4" fillId="2" borderId="10" xfId="0" applyFont="1" applyFill="1" applyBorder="1" applyAlignment="1">
      <alignment vertical="center"/>
    </xf>
    <xf numFmtId="43" fontId="9" fillId="2" borderId="7" xfId="0" applyNumberFormat="1" applyFont="1" applyFill="1" applyBorder="1" applyAlignment="1">
      <alignment horizontal="center"/>
    </xf>
    <xf numFmtId="189" fontId="4" fillId="2" borderId="11" xfId="0" applyNumberFormat="1" applyFont="1" applyFill="1" applyBorder="1"/>
    <xf numFmtId="0" fontId="4" fillId="2" borderId="7" xfId="0" applyFont="1" applyFill="1" applyBorder="1" applyAlignment="1">
      <alignment horizontal="left" indent="2"/>
    </xf>
    <xf numFmtId="0" fontId="5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5" fillId="2" borderId="9" xfId="0" applyFont="1" applyFill="1" applyBorder="1" applyAlignment="1">
      <alignment vertical="center"/>
    </xf>
    <xf numFmtId="188" fontId="4" fillId="2" borderId="3" xfId="0" quotePrefix="1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left" indent="2"/>
    </xf>
    <xf numFmtId="0" fontId="4" fillId="2" borderId="7" xfId="0" applyFont="1" applyFill="1" applyBorder="1" applyAlignment="1">
      <alignment horizontal="left"/>
    </xf>
    <xf numFmtId="43" fontId="9" fillId="2" borderId="7" xfId="0" applyNumberFormat="1" applyFont="1" applyFill="1" applyBorder="1"/>
    <xf numFmtId="0" fontId="4" fillId="2" borderId="11" xfId="0" applyFont="1" applyFill="1" applyBorder="1"/>
    <xf numFmtId="0" fontId="5" fillId="2" borderId="7" xfId="0" applyFont="1" applyFill="1" applyBorder="1" applyAlignment="1">
      <alignment horizontal="left" indent="2"/>
    </xf>
    <xf numFmtId="188" fontId="4" fillId="0" borderId="7" xfId="0" quotePrefix="1" applyNumberFormat="1" applyFont="1" applyFill="1" applyBorder="1" applyAlignment="1">
      <alignment horizontal="center"/>
    </xf>
    <xf numFmtId="0" fontId="10" fillId="2" borderId="9" xfId="0" quotePrefix="1" applyFont="1" applyFill="1" applyBorder="1" applyAlignment="1">
      <alignment horizontal="center" vertical="center" wrapText="1"/>
    </xf>
    <xf numFmtId="0" fontId="4" fillId="0" borderId="7" xfId="0" quotePrefix="1" applyFont="1" applyFill="1" applyBorder="1" applyAlignment="1">
      <alignment horizontal="center"/>
    </xf>
    <xf numFmtId="0" fontId="5" fillId="0" borderId="10" xfId="0" applyFont="1" applyBorder="1" applyAlignment="1">
      <alignment vertical="center"/>
    </xf>
    <xf numFmtId="188" fontId="4" fillId="0" borderId="11" xfId="0" quotePrefix="1" applyNumberFormat="1" applyFont="1" applyFill="1" applyBorder="1" applyAlignment="1">
      <alignment horizontal="center"/>
    </xf>
    <xf numFmtId="0" fontId="4" fillId="0" borderId="9" xfId="0" quotePrefix="1" applyFont="1" applyFill="1" applyBorder="1" applyAlignment="1">
      <alignment horizontal="center"/>
    </xf>
    <xf numFmtId="190" fontId="4" fillId="0" borderId="7" xfId="0" quotePrefix="1" applyNumberFormat="1" applyFont="1" applyFill="1" applyBorder="1" applyAlignment="1">
      <alignment horizontal="center"/>
    </xf>
    <xf numFmtId="0" fontId="4" fillId="0" borderId="10" xfId="0" quotePrefix="1" applyFont="1" applyFill="1" applyBorder="1" applyAlignment="1">
      <alignment horizontal="center"/>
    </xf>
    <xf numFmtId="43" fontId="4" fillId="0" borderId="10" xfId="1" applyFont="1" applyBorder="1" applyAlignment="1">
      <alignment horizontal="center"/>
    </xf>
    <xf numFmtId="0" fontId="4" fillId="2" borderId="10" xfId="0" applyFont="1" applyFill="1" applyBorder="1"/>
    <xf numFmtId="0" fontId="4" fillId="0" borderId="9" xfId="0" applyFont="1" applyFill="1" applyBorder="1"/>
    <xf numFmtId="0" fontId="4" fillId="2" borderId="1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43" fontId="5" fillId="2" borderId="1" xfId="0" applyNumberFormat="1" applyFont="1" applyFill="1" applyBorder="1" applyAlignment="1">
      <alignment horizontal="center"/>
    </xf>
    <xf numFmtId="43" fontId="4" fillId="0" borderId="1" xfId="1" applyFont="1" applyFill="1" applyBorder="1"/>
    <xf numFmtId="189" fontId="4" fillId="0" borderId="6" xfId="0" applyNumberFormat="1" applyFont="1" applyBorder="1"/>
    <xf numFmtId="0" fontId="6" fillId="0" borderId="1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43" fontId="6" fillId="0" borderId="15" xfId="3" applyFont="1" applyBorder="1" applyAlignment="1">
      <alignment horizontal="center" vertical="center" wrapText="1"/>
    </xf>
    <xf numFmtId="0" fontId="4" fillId="0" borderId="13" xfId="0" quotePrefix="1" applyFont="1" applyBorder="1" applyAlignment="1">
      <alignment horizontal="center" vertical="center" wrapText="1"/>
    </xf>
    <xf numFmtId="0" fontId="4" fillId="0" borderId="12" xfId="0" quotePrefix="1" applyFont="1" applyBorder="1" applyAlignment="1">
      <alignment horizontal="center" vertical="center" wrapText="1"/>
    </xf>
    <xf numFmtId="0" fontId="4" fillId="0" borderId="10" xfId="0" quotePrefix="1" applyFont="1" applyBorder="1" applyAlignment="1">
      <alignment horizontal="center" vertical="center" wrapText="1"/>
    </xf>
    <xf numFmtId="0" fontId="4" fillId="0" borderId="7" xfId="0" quotePrefix="1" applyFont="1" applyBorder="1" applyAlignment="1">
      <alignment horizontal="center" vertical="center" wrapText="1"/>
    </xf>
    <xf numFmtId="43" fontId="4" fillId="0" borderId="10" xfId="3" quotePrefix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 wrapText="1" indent="2"/>
    </xf>
    <xf numFmtId="0" fontId="4" fillId="0" borderId="8" xfId="0" quotePrefix="1" applyFont="1" applyBorder="1" applyAlignment="1">
      <alignment horizontal="center" vertical="center" wrapText="1"/>
    </xf>
    <xf numFmtId="0" fontId="10" fillId="0" borderId="0" xfId="0" quotePrefix="1" applyFont="1" applyBorder="1" applyAlignment="1">
      <alignment horizontal="center"/>
    </xf>
    <xf numFmtId="43" fontId="6" fillId="0" borderId="0" xfId="1" applyFont="1"/>
    <xf numFmtId="43" fontId="4" fillId="0" borderId="0" xfId="0" applyNumberFormat="1" applyFont="1"/>
    <xf numFmtId="4" fontId="4" fillId="0" borderId="1" xfId="0" applyNumberFormat="1" applyFont="1" applyFill="1" applyBorder="1"/>
    <xf numFmtId="43" fontId="4" fillId="2" borderId="0" xfId="0" applyNumberFormat="1" applyFont="1" applyFill="1"/>
    <xf numFmtId="0" fontId="12" fillId="0" borderId="12" xfId="0" applyFont="1" applyBorder="1"/>
    <xf numFmtId="43" fontId="12" fillId="0" borderId="12" xfId="1" applyFont="1" applyBorder="1"/>
    <xf numFmtId="0" fontId="13" fillId="0" borderId="12" xfId="0" applyFont="1" applyBorder="1" applyAlignment="1">
      <alignment horizontal="center" vertical="top"/>
    </xf>
    <xf numFmtId="0" fontId="13" fillId="0" borderId="12" xfId="0" applyFont="1" applyBorder="1" applyAlignment="1">
      <alignment horizontal="center" vertical="top" wrapText="1"/>
    </xf>
    <xf numFmtId="0" fontId="13" fillId="0" borderId="12" xfId="0" applyFont="1" applyBorder="1"/>
    <xf numFmtId="0" fontId="13" fillId="0" borderId="12" xfId="0" applyFont="1" applyBorder="1" applyAlignment="1">
      <alignment horizontal="center"/>
    </xf>
    <xf numFmtId="43" fontId="13" fillId="0" borderId="12" xfId="1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89" fontId="5" fillId="0" borderId="0" xfId="0" applyNumberFormat="1" applyFont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/>
    </xf>
  </cellXfs>
  <cellStyles count="7">
    <cellStyle name="Comma" xfId="1" builtinId="3"/>
    <cellStyle name="Comma 2" xfId="3"/>
    <cellStyle name="Normal" xfId="0" builtinId="0"/>
    <cellStyle name="Normal 2" xfId="4"/>
    <cellStyle name="Normal 3" xfId="2"/>
    <cellStyle name="Normal 4" xfId="5"/>
    <cellStyle name="ดี" xfId="6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27"/>
  <sheetViews>
    <sheetView tabSelected="1" view="pageBreakPreview" topLeftCell="A604" zoomScale="80" zoomScaleNormal="100" zoomScaleSheetLayoutView="80" workbookViewId="0">
      <selection activeCell="O627" sqref="O627"/>
    </sheetView>
  </sheetViews>
  <sheetFormatPr defaultColWidth="9" defaultRowHeight="24" x14ac:dyDescent="0.55000000000000004"/>
  <cols>
    <col min="1" max="1" width="1.75" style="2" customWidth="1"/>
    <col min="2" max="2" width="6.625" style="2" customWidth="1"/>
    <col min="3" max="3" width="19.875" style="2" customWidth="1"/>
    <col min="4" max="4" width="32.5" style="2" customWidth="1"/>
    <col min="5" max="5" width="80.375" style="2" customWidth="1"/>
    <col min="6" max="6" width="15.5" style="2" customWidth="1"/>
    <col min="7" max="7" width="16.375" style="2" bestFit="1" customWidth="1"/>
    <col min="8" max="8" width="17.75" style="173" customWidth="1"/>
    <col min="9" max="9" width="8.25" style="2" customWidth="1"/>
    <col min="10" max="10" width="13.375" style="2" bestFit="1" customWidth="1"/>
    <col min="11" max="16384" width="9" style="2"/>
  </cols>
  <sheetData>
    <row r="1" spans="1:9" x14ac:dyDescent="0.55000000000000004">
      <c r="A1" s="16"/>
      <c r="B1" s="243" t="s">
        <v>77</v>
      </c>
      <c r="C1" s="243"/>
      <c r="D1" s="243"/>
      <c r="E1" s="243"/>
      <c r="F1" s="243"/>
      <c r="G1" s="243"/>
      <c r="H1" s="243"/>
      <c r="I1" s="243"/>
    </row>
    <row r="2" spans="1:9" x14ac:dyDescent="0.55000000000000004">
      <c r="B2" s="244" t="s">
        <v>123</v>
      </c>
      <c r="C2" s="244"/>
      <c r="D2" s="244"/>
      <c r="E2" s="244"/>
      <c r="F2" s="244"/>
      <c r="G2" s="244"/>
      <c r="H2" s="244"/>
      <c r="I2" s="244"/>
    </row>
    <row r="3" spans="1:9" ht="21" customHeight="1" x14ac:dyDescent="0.55000000000000004">
      <c r="B3" s="245" t="s">
        <v>78</v>
      </c>
      <c r="C3" s="245"/>
      <c r="D3" s="245"/>
      <c r="E3" s="245"/>
      <c r="F3" s="245"/>
      <c r="G3" s="245"/>
      <c r="H3" s="245"/>
      <c r="I3" s="245"/>
    </row>
    <row r="4" spans="1:9" ht="11.25" customHeight="1" x14ac:dyDescent="0.55000000000000004">
      <c r="B4" s="24"/>
      <c r="C4" s="24"/>
      <c r="D4" s="24"/>
      <c r="E4" s="17"/>
      <c r="F4" s="24"/>
      <c r="G4" s="24"/>
      <c r="H4" s="170"/>
      <c r="I4" s="24"/>
    </row>
    <row r="5" spans="1:9" ht="54" customHeight="1" x14ac:dyDescent="0.55000000000000004">
      <c r="B5" s="219" t="s">
        <v>32</v>
      </c>
      <c r="C5" s="220" t="s">
        <v>106</v>
      </c>
      <c r="D5" s="221" t="s">
        <v>33</v>
      </c>
      <c r="E5" s="220" t="s">
        <v>34</v>
      </c>
      <c r="F5" s="222" t="s">
        <v>35</v>
      </c>
      <c r="G5" s="246" t="s">
        <v>36</v>
      </c>
      <c r="H5" s="247"/>
      <c r="I5" s="220" t="s">
        <v>37</v>
      </c>
    </row>
    <row r="6" spans="1:9" ht="18" customHeight="1" x14ac:dyDescent="0.55000000000000004">
      <c r="B6" s="223" t="s">
        <v>38</v>
      </c>
      <c r="C6" s="224" t="s">
        <v>0</v>
      </c>
      <c r="D6" s="225" t="s">
        <v>1</v>
      </c>
      <c r="E6" s="226" t="s">
        <v>2</v>
      </c>
      <c r="F6" s="227" t="s">
        <v>3</v>
      </c>
      <c r="G6" s="228" t="s">
        <v>39</v>
      </c>
      <c r="H6" s="229" t="s">
        <v>40</v>
      </c>
      <c r="I6" s="230" t="s">
        <v>4</v>
      </c>
    </row>
    <row r="7" spans="1:9" ht="22.5" customHeight="1" x14ac:dyDescent="0.55000000000000004">
      <c r="B7" s="70">
        <v>1</v>
      </c>
      <c r="C7" s="28" t="s">
        <v>124</v>
      </c>
      <c r="D7" s="2" t="s">
        <v>125</v>
      </c>
      <c r="E7" s="38" t="s">
        <v>126</v>
      </c>
      <c r="F7" s="68">
        <f>33600*1.07</f>
        <v>35952</v>
      </c>
      <c r="G7" s="49">
        <v>44473</v>
      </c>
      <c r="H7" s="172" t="s">
        <v>127</v>
      </c>
      <c r="I7" s="70">
        <v>1</v>
      </c>
    </row>
    <row r="8" spans="1:9" ht="17.25" customHeight="1" x14ac:dyDescent="0.55000000000000004">
      <c r="B8" s="32"/>
      <c r="C8" s="33"/>
      <c r="D8" s="66"/>
      <c r="E8" s="13"/>
      <c r="F8" s="35"/>
      <c r="G8" s="32"/>
      <c r="H8" s="171"/>
      <c r="I8" s="32"/>
    </row>
    <row r="9" spans="1:9" ht="22.5" customHeight="1" x14ac:dyDescent="0.55000000000000004">
      <c r="B9" s="27">
        <v>2</v>
      </c>
      <c r="C9" s="28" t="s">
        <v>128</v>
      </c>
      <c r="D9" s="2" t="s">
        <v>129</v>
      </c>
      <c r="E9" s="18" t="s">
        <v>130</v>
      </c>
      <c r="F9" s="30">
        <f>5760*1.07</f>
        <v>6163.2000000000007</v>
      </c>
      <c r="G9" s="31">
        <v>44473</v>
      </c>
      <c r="H9" s="151" t="s">
        <v>131</v>
      </c>
      <c r="I9" s="27">
        <v>1</v>
      </c>
    </row>
    <row r="10" spans="1:9" ht="18" customHeight="1" x14ac:dyDescent="0.55000000000000004">
      <c r="B10" s="32"/>
      <c r="C10" s="33"/>
      <c r="D10" s="100"/>
      <c r="E10" s="38"/>
      <c r="F10" s="3"/>
      <c r="G10" s="148"/>
      <c r="H10" s="153"/>
      <c r="I10" s="32"/>
    </row>
    <row r="11" spans="1:9" ht="22.5" customHeight="1" x14ac:dyDescent="0.55000000000000004">
      <c r="B11" s="39">
        <v>3</v>
      </c>
      <c r="C11" s="15" t="s">
        <v>132</v>
      </c>
      <c r="D11" s="8" t="s">
        <v>94</v>
      </c>
      <c r="E11" s="18" t="s">
        <v>133</v>
      </c>
      <c r="F11" s="30">
        <f>13300*1.07</f>
        <v>14231</v>
      </c>
      <c r="G11" s="31">
        <v>44474</v>
      </c>
      <c r="H11" s="151" t="s">
        <v>134</v>
      </c>
      <c r="I11" s="27">
        <v>1</v>
      </c>
    </row>
    <row r="12" spans="1:9" ht="22.5" customHeight="1" x14ac:dyDescent="0.55000000000000004">
      <c r="B12" s="41"/>
      <c r="C12" s="33"/>
      <c r="D12" s="66"/>
      <c r="E12" s="13" t="s">
        <v>58</v>
      </c>
      <c r="F12" s="3"/>
      <c r="G12" s="149"/>
      <c r="H12" s="154"/>
      <c r="I12" s="32"/>
    </row>
    <row r="13" spans="1:9" ht="22.5" customHeight="1" x14ac:dyDescent="0.55000000000000004">
      <c r="B13" s="27">
        <v>4</v>
      </c>
      <c r="C13" s="42" t="s">
        <v>135</v>
      </c>
      <c r="D13" s="2" t="s">
        <v>136</v>
      </c>
      <c r="E13" s="18" t="s">
        <v>137</v>
      </c>
      <c r="F13" s="30">
        <f>29640*1.07</f>
        <v>31714.800000000003</v>
      </c>
      <c r="G13" s="31">
        <v>44474</v>
      </c>
      <c r="H13" s="151" t="s">
        <v>138</v>
      </c>
      <c r="I13" s="27">
        <v>1</v>
      </c>
    </row>
    <row r="14" spans="1:9" ht="22.5" customHeight="1" x14ac:dyDescent="0.55000000000000004">
      <c r="B14" s="32"/>
      <c r="C14" s="43"/>
      <c r="D14" s="100"/>
      <c r="E14" s="13"/>
      <c r="F14" s="3"/>
      <c r="G14" s="149"/>
      <c r="H14" s="153"/>
      <c r="I14" s="32"/>
    </row>
    <row r="15" spans="1:9" ht="22.5" customHeight="1" x14ac:dyDescent="0.55000000000000004">
      <c r="B15" s="27">
        <v>5</v>
      </c>
      <c r="C15" s="15" t="s">
        <v>139</v>
      </c>
      <c r="D15" s="2" t="s">
        <v>140</v>
      </c>
      <c r="E15" s="18" t="s">
        <v>141</v>
      </c>
      <c r="F15" s="30">
        <f>24000*1.07</f>
        <v>25680</v>
      </c>
      <c r="G15" s="31">
        <v>44474</v>
      </c>
      <c r="H15" s="151" t="s">
        <v>142</v>
      </c>
      <c r="I15" s="46">
        <v>1</v>
      </c>
    </row>
    <row r="16" spans="1:9" ht="22.5" customHeight="1" x14ac:dyDescent="0.55000000000000004">
      <c r="B16" s="32"/>
      <c r="C16" s="33"/>
      <c r="D16" s="100" t="s">
        <v>111</v>
      </c>
      <c r="E16" s="13"/>
      <c r="F16" s="3"/>
      <c r="G16" s="149"/>
      <c r="H16" s="153"/>
      <c r="I16" s="47"/>
    </row>
    <row r="17" spans="2:9" ht="22.5" customHeight="1" x14ac:dyDescent="0.55000000000000004">
      <c r="B17" s="39">
        <v>6</v>
      </c>
      <c r="C17" s="27" t="s">
        <v>143</v>
      </c>
      <c r="D17" s="2" t="s">
        <v>144</v>
      </c>
      <c r="E17" s="18" t="s">
        <v>145</v>
      </c>
      <c r="F17" s="30">
        <f>82650*1.07</f>
        <v>88435.5</v>
      </c>
      <c r="G17" s="31">
        <v>44475</v>
      </c>
      <c r="H17" s="151" t="s">
        <v>146</v>
      </c>
      <c r="I17" s="27">
        <v>1</v>
      </c>
    </row>
    <row r="18" spans="2:9" ht="21" customHeight="1" x14ac:dyDescent="0.55000000000000004">
      <c r="B18" s="41"/>
      <c r="C18" s="85"/>
      <c r="D18" s="67" t="s">
        <v>147</v>
      </c>
      <c r="E18" s="13"/>
      <c r="F18" s="3"/>
      <c r="G18" s="149"/>
      <c r="H18" s="153"/>
      <c r="I18" s="32"/>
    </row>
    <row r="19" spans="2:9" ht="22.5" customHeight="1" x14ac:dyDescent="0.55000000000000004">
      <c r="B19" s="27">
        <v>7</v>
      </c>
      <c r="C19" s="114" t="s">
        <v>148</v>
      </c>
      <c r="D19" s="115" t="s">
        <v>149</v>
      </c>
      <c r="E19" s="18" t="s">
        <v>150</v>
      </c>
      <c r="F19" s="30">
        <f>39340*1.07</f>
        <v>42093.8</v>
      </c>
      <c r="G19" s="31">
        <v>44475</v>
      </c>
      <c r="H19" s="151" t="s">
        <v>151</v>
      </c>
      <c r="I19" s="27">
        <v>1</v>
      </c>
    </row>
    <row r="20" spans="2:9" ht="18.75" customHeight="1" x14ac:dyDescent="0.55000000000000004">
      <c r="B20" s="32"/>
      <c r="C20" s="33"/>
      <c r="D20" s="105"/>
      <c r="E20" s="13" t="s">
        <v>58</v>
      </c>
      <c r="F20" s="3"/>
      <c r="G20" s="149"/>
      <c r="H20" s="153"/>
      <c r="I20" s="32"/>
    </row>
    <row r="21" spans="2:9" ht="22.5" customHeight="1" x14ac:dyDescent="0.55000000000000004">
      <c r="B21" s="27">
        <v>8</v>
      </c>
      <c r="C21" s="116" t="s">
        <v>152</v>
      </c>
      <c r="D21" s="2" t="s">
        <v>6</v>
      </c>
      <c r="E21" s="18" t="s">
        <v>153</v>
      </c>
      <c r="F21" s="30">
        <f>82800*1.07</f>
        <v>88596</v>
      </c>
      <c r="G21" s="31">
        <v>44475</v>
      </c>
      <c r="H21" s="172" t="s">
        <v>154</v>
      </c>
      <c r="I21" s="46">
        <v>1</v>
      </c>
    </row>
    <row r="22" spans="2:9" ht="17.25" customHeight="1" x14ac:dyDescent="0.55000000000000004">
      <c r="B22" s="32"/>
      <c r="C22" s="85"/>
      <c r="D22" s="100"/>
      <c r="E22" s="13"/>
      <c r="F22" s="3"/>
      <c r="G22" s="149"/>
      <c r="H22" s="153"/>
      <c r="I22" s="47"/>
    </row>
    <row r="23" spans="2:9" ht="22.5" customHeight="1" x14ac:dyDescent="0.55000000000000004">
      <c r="B23" s="39">
        <v>9</v>
      </c>
      <c r="C23" s="7" t="s">
        <v>155</v>
      </c>
      <c r="D23" s="2" t="s">
        <v>156</v>
      </c>
      <c r="E23" s="18" t="s">
        <v>157</v>
      </c>
      <c r="F23" s="30">
        <f>70000*1.07</f>
        <v>74900</v>
      </c>
      <c r="G23" s="31">
        <v>44475</v>
      </c>
      <c r="H23" s="172" t="s">
        <v>158</v>
      </c>
      <c r="I23" s="27">
        <v>1</v>
      </c>
    </row>
    <row r="24" spans="2:9" ht="17.25" customHeight="1" x14ac:dyDescent="0.55000000000000004">
      <c r="B24" s="41"/>
      <c r="C24" s="33"/>
      <c r="D24" s="100"/>
      <c r="E24" s="13"/>
      <c r="F24" s="3"/>
      <c r="G24" s="149"/>
      <c r="H24" s="153"/>
      <c r="I24" s="32"/>
    </row>
    <row r="25" spans="2:9" ht="22.5" customHeight="1" x14ac:dyDescent="0.55000000000000004">
      <c r="B25" s="27">
        <v>10</v>
      </c>
      <c r="C25" s="7" t="s">
        <v>159</v>
      </c>
      <c r="D25" s="117" t="s">
        <v>101</v>
      </c>
      <c r="E25" s="18" t="s">
        <v>160</v>
      </c>
      <c r="F25" s="30">
        <f>93400*1.07</f>
        <v>99938</v>
      </c>
      <c r="G25" s="31">
        <v>44476</v>
      </c>
      <c r="H25" s="6" t="s">
        <v>968</v>
      </c>
      <c r="I25" s="27">
        <v>1</v>
      </c>
    </row>
    <row r="26" spans="2:9" ht="24" customHeight="1" x14ac:dyDescent="0.55000000000000004">
      <c r="B26" s="32"/>
      <c r="C26" s="33"/>
      <c r="D26" s="100"/>
      <c r="E26" s="13" t="s">
        <v>58</v>
      </c>
      <c r="F26" s="3"/>
      <c r="G26" s="149"/>
      <c r="H26" s="152"/>
      <c r="I26" s="32"/>
    </row>
    <row r="27" spans="2:9" ht="22.5" customHeight="1" x14ac:dyDescent="0.55000000000000004">
      <c r="B27" s="27">
        <v>11</v>
      </c>
      <c r="C27" s="15" t="s">
        <v>161</v>
      </c>
      <c r="D27" s="2" t="s">
        <v>100</v>
      </c>
      <c r="E27" s="18" t="s">
        <v>162</v>
      </c>
      <c r="F27" s="30">
        <f>89400*1.07</f>
        <v>95658</v>
      </c>
      <c r="G27" s="31">
        <v>44480</v>
      </c>
      <c r="H27" s="151" t="s">
        <v>163</v>
      </c>
      <c r="I27" s="27">
        <v>1</v>
      </c>
    </row>
    <row r="28" spans="2:9" ht="22.5" customHeight="1" x14ac:dyDescent="0.55000000000000004">
      <c r="B28" s="32"/>
      <c r="C28" s="33"/>
      <c r="D28" s="100"/>
      <c r="E28" s="13" t="s">
        <v>58</v>
      </c>
      <c r="F28" s="3"/>
      <c r="G28" s="149"/>
      <c r="H28" s="152"/>
      <c r="I28" s="32"/>
    </row>
    <row r="29" spans="2:9" ht="22.5" customHeight="1" x14ac:dyDescent="0.55000000000000004">
      <c r="B29" s="27">
        <v>12</v>
      </c>
      <c r="C29" s="118" t="s">
        <v>164</v>
      </c>
      <c r="D29" s="117" t="s">
        <v>10</v>
      </c>
      <c r="E29" s="18" t="s">
        <v>165</v>
      </c>
      <c r="F29" s="30">
        <f>84800*1.07</f>
        <v>90736</v>
      </c>
      <c r="G29" s="31">
        <v>44480</v>
      </c>
      <c r="H29" s="151" t="s">
        <v>166</v>
      </c>
      <c r="I29" s="27">
        <v>1</v>
      </c>
    </row>
    <row r="30" spans="2:9" ht="20.25" customHeight="1" x14ac:dyDescent="0.55000000000000004">
      <c r="B30" s="32"/>
      <c r="C30" s="33"/>
      <c r="D30" s="100"/>
      <c r="E30" s="119"/>
      <c r="F30" s="3"/>
      <c r="G30" s="36"/>
      <c r="H30" s="171"/>
      <c r="I30" s="32"/>
    </row>
    <row r="31" spans="2:9" ht="22.5" customHeight="1" x14ac:dyDescent="0.55000000000000004">
      <c r="B31" s="27">
        <v>13</v>
      </c>
      <c r="C31" s="72" t="s">
        <v>167</v>
      </c>
      <c r="D31" s="2" t="s">
        <v>168</v>
      </c>
      <c r="E31" s="18" t="s">
        <v>169</v>
      </c>
      <c r="F31" s="30">
        <f>38990*1.07</f>
        <v>41719.300000000003</v>
      </c>
      <c r="G31" s="97">
        <v>44480</v>
      </c>
      <c r="H31" s="151" t="s">
        <v>170</v>
      </c>
      <c r="I31" s="27">
        <v>1</v>
      </c>
    </row>
    <row r="32" spans="2:9" ht="17.25" customHeight="1" x14ac:dyDescent="0.55000000000000004">
      <c r="B32" s="32"/>
      <c r="C32" s="43"/>
      <c r="D32" s="100"/>
      <c r="E32" s="13"/>
      <c r="F32" s="3"/>
      <c r="G32" s="149"/>
      <c r="H32" s="152"/>
      <c r="I32" s="32"/>
    </row>
    <row r="33" spans="2:9" ht="22.5" customHeight="1" x14ac:dyDescent="0.55000000000000004">
      <c r="B33" s="27">
        <v>14</v>
      </c>
      <c r="C33" s="72" t="s">
        <v>164</v>
      </c>
      <c r="D33" s="117" t="s">
        <v>171</v>
      </c>
      <c r="E33" s="18" t="s">
        <v>172</v>
      </c>
      <c r="F33" s="30">
        <f>65120*1.07</f>
        <v>69678.400000000009</v>
      </c>
      <c r="G33" s="31">
        <v>44480</v>
      </c>
      <c r="H33" s="151" t="s">
        <v>173</v>
      </c>
      <c r="I33" s="27">
        <v>1</v>
      </c>
    </row>
    <row r="34" spans="2:9" ht="20.25" customHeight="1" x14ac:dyDescent="0.55000000000000004">
      <c r="B34" s="32"/>
      <c r="C34" s="33"/>
      <c r="D34" s="105"/>
      <c r="E34" s="13" t="s">
        <v>58</v>
      </c>
      <c r="F34" s="3"/>
      <c r="G34" s="36"/>
      <c r="H34" s="152"/>
      <c r="I34" s="32"/>
    </row>
    <row r="35" spans="2:9" ht="22.5" customHeight="1" x14ac:dyDescent="0.55000000000000004">
      <c r="B35" s="27">
        <v>15</v>
      </c>
      <c r="C35" s="11" t="s">
        <v>41</v>
      </c>
      <c r="D35" s="117" t="s">
        <v>11</v>
      </c>
      <c r="E35" s="18" t="s">
        <v>174</v>
      </c>
      <c r="F35" s="30">
        <f>74050*1.07</f>
        <v>79233.5</v>
      </c>
      <c r="G35" s="31">
        <v>44480</v>
      </c>
      <c r="H35" s="174" t="s">
        <v>969</v>
      </c>
      <c r="I35" s="27">
        <v>1</v>
      </c>
    </row>
    <row r="36" spans="2:9" ht="18.75" customHeight="1" x14ac:dyDescent="0.55000000000000004">
      <c r="B36" s="32"/>
      <c r="C36" s="33"/>
      <c r="D36" s="100"/>
      <c r="E36" s="13" t="s">
        <v>57</v>
      </c>
      <c r="F36" s="3"/>
      <c r="G36" s="149"/>
      <c r="H36" s="175"/>
      <c r="I36" s="32"/>
    </row>
    <row r="37" spans="2:9" ht="26.25" customHeight="1" x14ac:dyDescent="0.55000000000000004">
      <c r="B37" s="27">
        <v>16</v>
      </c>
      <c r="C37" s="118" t="s">
        <v>175</v>
      </c>
      <c r="D37" s="120" t="s">
        <v>176</v>
      </c>
      <c r="E37" s="18" t="s">
        <v>965</v>
      </c>
      <c r="F37" s="92">
        <f>36000*1.07</f>
        <v>38520</v>
      </c>
      <c r="G37" s="31">
        <v>44480</v>
      </c>
      <c r="H37" s="151" t="s">
        <v>177</v>
      </c>
      <c r="I37" s="27">
        <v>1</v>
      </c>
    </row>
    <row r="38" spans="2:9" ht="24.75" customHeight="1" x14ac:dyDescent="0.55000000000000004">
      <c r="B38" s="32"/>
      <c r="C38" s="32"/>
      <c r="D38" s="66"/>
      <c r="E38" s="13" t="s">
        <v>964</v>
      </c>
      <c r="F38" s="121"/>
      <c r="G38" s="36"/>
      <c r="H38" s="153"/>
      <c r="I38" s="32"/>
    </row>
    <row r="39" spans="2:9" ht="22.5" customHeight="1" x14ac:dyDescent="0.55000000000000004">
      <c r="B39" s="27">
        <v>17</v>
      </c>
      <c r="C39" s="118" t="s">
        <v>178</v>
      </c>
      <c r="D39" s="117" t="s">
        <v>179</v>
      </c>
      <c r="E39" s="18" t="s">
        <v>180</v>
      </c>
      <c r="F39" s="30">
        <f>58000*1.07</f>
        <v>62060</v>
      </c>
      <c r="G39" s="31">
        <v>44480</v>
      </c>
      <c r="H39" s="151" t="s">
        <v>181</v>
      </c>
      <c r="I39" s="46">
        <v>1</v>
      </c>
    </row>
    <row r="40" spans="2:9" ht="21" customHeight="1" x14ac:dyDescent="0.55000000000000004">
      <c r="B40" s="32"/>
      <c r="C40" s="32"/>
      <c r="D40" s="100"/>
      <c r="E40" s="13" t="s">
        <v>182</v>
      </c>
      <c r="F40" s="3"/>
      <c r="G40" s="149"/>
      <c r="H40" s="153"/>
      <c r="I40" s="47"/>
    </row>
    <row r="41" spans="2:9" ht="22.5" customHeight="1" x14ac:dyDescent="0.55000000000000004">
      <c r="B41" s="27">
        <v>18</v>
      </c>
      <c r="C41" s="72" t="s">
        <v>91</v>
      </c>
      <c r="D41" s="2" t="s">
        <v>84</v>
      </c>
      <c r="E41" s="18" t="s">
        <v>966</v>
      </c>
      <c r="F41" s="122">
        <f>14550*1.07</f>
        <v>15568.5</v>
      </c>
      <c r="G41" s="97">
        <v>44481</v>
      </c>
      <c r="H41" s="151" t="s">
        <v>183</v>
      </c>
      <c r="I41" s="27">
        <v>1</v>
      </c>
    </row>
    <row r="42" spans="2:9" ht="20.25" customHeight="1" x14ac:dyDescent="0.55000000000000004">
      <c r="B42" s="32"/>
      <c r="C42" s="85"/>
      <c r="D42" s="67"/>
      <c r="E42" s="38" t="s">
        <v>184</v>
      </c>
      <c r="F42" s="70"/>
      <c r="G42" s="149"/>
      <c r="H42" s="153"/>
      <c r="I42" s="32"/>
    </row>
    <row r="43" spans="2:9" ht="22.5" customHeight="1" x14ac:dyDescent="0.55000000000000004">
      <c r="B43" s="27">
        <v>19</v>
      </c>
      <c r="C43" s="21" t="s">
        <v>185</v>
      </c>
      <c r="D43" s="117" t="s">
        <v>7</v>
      </c>
      <c r="E43" s="18" t="s">
        <v>186</v>
      </c>
      <c r="F43" s="30">
        <f>51000*1.07</f>
        <v>54570</v>
      </c>
      <c r="G43" s="31">
        <v>44481</v>
      </c>
      <c r="H43" s="151" t="s">
        <v>187</v>
      </c>
      <c r="I43" s="27">
        <v>1</v>
      </c>
    </row>
    <row r="44" spans="2:9" ht="20.25" customHeight="1" x14ac:dyDescent="0.55000000000000004">
      <c r="B44" s="32"/>
      <c r="C44" s="33"/>
      <c r="D44" s="105"/>
      <c r="E44" s="13" t="s">
        <v>61</v>
      </c>
      <c r="F44" s="3"/>
      <c r="G44" s="149"/>
      <c r="H44" s="153"/>
      <c r="I44" s="32"/>
    </row>
    <row r="45" spans="2:9" ht="22.5" customHeight="1" x14ac:dyDescent="0.55000000000000004">
      <c r="B45" s="27">
        <v>20</v>
      </c>
      <c r="C45" s="72" t="s">
        <v>188</v>
      </c>
      <c r="D45" s="2" t="s">
        <v>90</v>
      </c>
      <c r="E45" s="8" t="s">
        <v>189</v>
      </c>
      <c r="F45" s="30">
        <f>62000*1.07</f>
        <v>66340</v>
      </c>
      <c r="G45" s="97">
        <v>44481</v>
      </c>
      <c r="H45" s="151" t="s">
        <v>190</v>
      </c>
      <c r="I45" s="27">
        <v>1</v>
      </c>
    </row>
    <row r="46" spans="2:9" ht="19.5" customHeight="1" x14ac:dyDescent="0.55000000000000004">
      <c r="B46" s="32"/>
      <c r="C46" s="33"/>
      <c r="D46" s="100"/>
      <c r="E46" s="13" t="s">
        <v>59</v>
      </c>
      <c r="F46" s="3"/>
      <c r="G46" s="149"/>
      <c r="H46" s="153"/>
      <c r="I46" s="32"/>
    </row>
    <row r="47" spans="2:9" ht="21" customHeight="1" x14ac:dyDescent="0.55000000000000004">
      <c r="B47" s="27">
        <v>21</v>
      </c>
      <c r="C47" s="118" t="s">
        <v>164</v>
      </c>
      <c r="D47" s="2" t="s">
        <v>191</v>
      </c>
      <c r="E47" s="18" t="s">
        <v>192</v>
      </c>
      <c r="F47" s="30">
        <f>30160*1.07</f>
        <v>32271.200000000001</v>
      </c>
      <c r="G47" s="31">
        <v>44481</v>
      </c>
      <c r="H47" s="173" t="s">
        <v>193</v>
      </c>
      <c r="I47" s="27">
        <v>1</v>
      </c>
    </row>
    <row r="48" spans="2:9" ht="21" customHeight="1" x14ac:dyDescent="0.55000000000000004">
      <c r="B48" s="32"/>
      <c r="C48" s="90"/>
      <c r="D48" s="66"/>
      <c r="E48" s="13" t="s">
        <v>58</v>
      </c>
      <c r="F48" s="3"/>
      <c r="G48" s="149"/>
      <c r="H48" s="153"/>
      <c r="I48" s="32"/>
    </row>
    <row r="49" spans="2:9" ht="22.5" customHeight="1" x14ac:dyDescent="0.55000000000000004">
      <c r="B49" s="27">
        <v>22</v>
      </c>
      <c r="C49" s="42" t="s">
        <v>70</v>
      </c>
      <c r="D49" s="2" t="s">
        <v>22</v>
      </c>
      <c r="E49" s="18" t="s">
        <v>194</v>
      </c>
      <c r="F49" s="30">
        <f>1700*1.07</f>
        <v>1819</v>
      </c>
      <c r="G49" s="31">
        <v>44481</v>
      </c>
      <c r="H49" s="172" t="s">
        <v>195</v>
      </c>
      <c r="I49" s="27">
        <v>1</v>
      </c>
    </row>
    <row r="50" spans="2:9" ht="18" customHeight="1" x14ac:dyDescent="0.55000000000000004">
      <c r="B50" s="32"/>
      <c r="C50" s="123"/>
      <c r="D50" s="69"/>
      <c r="E50" s="13"/>
      <c r="F50" s="3"/>
      <c r="G50" s="149"/>
      <c r="H50" s="153"/>
      <c r="I50" s="32"/>
    </row>
    <row r="51" spans="2:9" ht="22.5" customHeight="1" x14ac:dyDescent="0.55000000000000004">
      <c r="B51" s="27">
        <v>23</v>
      </c>
      <c r="C51" s="72" t="s">
        <v>91</v>
      </c>
      <c r="D51" s="2" t="s">
        <v>84</v>
      </c>
      <c r="E51" s="18" t="s">
        <v>196</v>
      </c>
      <c r="F51" s="30">
        <f>72000*1.07</f>
        <v>77040</v>
      </c>
      <c r="G51" s="31">
        <v>44481</v>
      </c>
      <c r="H51" s="172" t="s">
        <v>197</v>
      </c>
      <c r="I51" s="27">
        <v>1</v>
      </c>
    </row>
    <row r="52" spans="2:9" ht="21.75" customHeight="1" x14ac:dyDescent="0.55000000000000004">
      <c r="B52" s="32"/>
      <c r="C52" s="32"/>
      <c r="D52" s="69"/>
      <c r="E52" s="13" t="s">
        <v>198</v>
      </c>
      <c r="F52" s="3"/>
      <c r="G52" s="149"/>
      <c r="H52" s="153"/>
      <c r="I52" s="32"/>
    </row>
    <row r="53" spans="2:9" ht="22.5" customHeight="1" x14ac:dyDescent="0.55000000000000004">
      <c r="B53" s="27">
        <v>24</v>
      </c>
      <c r="C53" s="7" t="s">
        <v>199</v>
      </c>
      <c r="D53" s="117" t="s">
        <v>112</v>
      </c>
      <c r="E53" s="18" t="s">
        <v>200</v>
      </c>
      <c r="F53" s="30">
        <f>62200*1.07</f>
        <v>66554</v>
      </c>
      <c r="G53" s="97">
        <v>44483</v>
      </c>
      <c r="H53" s="151" t="s">
        <v>201</v>
      </c>
      <c r="I53" s="27">
        <v>1</v>
      </c>
    </row>
    <row r="54" spans="2:9" ht="19.5" customHeight="1" x14ac:dyDescent="0.55000000000000004">
      <c r="B54" s="32"/>
      <c r="C54" s="33"/>
      <c r="D54" s="100" t="s">
        <v>107</v>
      </c>
      <c r="E54" s="13" t="s">
        <v>58</v>
      </c>
      <c r="F54" s="3"/>
      <c r="G54" s="149"/>
      <c r="H54" s="153"/>
      <c r="I54" s="32"/>
    </row>
    <row r="55" spans="2:9" ht="22.5" customHeight="1" x14ac:dyDescent="0.55000000000000004">
      <c r="B55" s="27">
        <v>25</v>
      </c>
      <c r="C55" s="118" t="s">
        <v>104</v>
      </c>
      <c r="D55" s="2" t="s">
        <v>82</v>
      </c>
      <c r="E55" s="18" t="s">
        <v>202</v>
      </c>
      <c r="F55" s="30">
        <f>80480*1.07</f>
        <v>86113.600000000006</v>
      </c>
      <c r="G55" s="31">
        <v>44483</v>
      </c>
      <c r="H55" s="155" t="s">
        <v>203</v>
      </c>
      <c r="I55" s="46">
        <v>1</v>
      </c>
    </row>
    <row r="56" spans="2:9" ht="20.25" customHeight="1" x14ac:dyDescent="0.55000000000000004">
      <c r="B56" s="32"/>
      <c r="C56" s="33"/>
      <c r="D56" s="100"/>
      <c r="E56" s="13" t="s">
        <v>57</v>
      </c>
      <c r="F56" s="3"/>
      <c r="G56" s="149"/>
      <c r="H56" s="153"/>
      <c r="I56" s="47"/>
    </row>
    <row r="57" spans="2:9" ht="22.5" customHeight="1" x14ac:dyDescent="0.55000000000000004">
      <c r="B57" s="27">
        <v>26</v>
      </c>
      <c r="C57" s="76" t="s">
        <v>204</v>
      </c>
      <c r="D57" s="120" t="s">
        <v>56</v>
      </c>
      <c r="E57" s="12" t="s">
        <v>205</v>
      </c>
      <c r="F57" s="30">
        <f>36500*1.07</f>
        <v>39055</v>
      </c>
      <c r="G57" s="31">
        <v>44483</v>
      </c>
      <c r="H57" s="151" t="s">
        <v>206</v>
      </c>
      <c r="I57" s="27">
        <v>1</v>
      </c>
    </row>
    <row r="58" spans="2:9" ht="22.5" customHeight="1" x14ac:dyDescent="0.55000000000000004">
      <c r="B58" s="32"/>
      <c r="C58" s="33"/>
      <c r="D58" s="66"/>
      <c r="E58" s="124" t="s">
        <v>30</v>
      </c>
      <c r="F58" s="3"/>
      <c r="G58" s="149"/>
      <c r="H58" s="153"/>
      <c r="I58" s="32"/>
    </row>
    <row r="59" spans="2:9" ht="22.5" customHeight="1" x14ac:dyDescent="0.55000000000000004">
      <c r="B59" s="27">
        <v>27</v>
      </c>
      <c r="C59" s="72" t="s">
        <v>207</v>
      </c>
      <c r="D59" s="2" t="s">
        <v>113</v>
      </c>
      <c r="E59" s="18" t="s">
        <v>208</v>
      </c>
      <c r="F59" s="30">
        <f>2880*1.07</f>
        <v>3081.6000000000004</v>
      </c>
      <c r="G59" s="31">
        <v>44483</v>
      </c>
      <c r="H59" s="151" t="s">
        <v>970</v>
      </c>
      <c r="I59" s="27">
        <v>1</v>
      </c>
    </row>
    <row r="60" spans="2:9" ht="17.25" customHeight="1" x14ac:dyDescent="0.55000000000000004">
      <c r="B60" s="32"/>
      <c r="C60" s="70"/>
      <c r="D60" s="100" t="s">
        <v>110</v>
      </c>
      <c r="E60" s="13" t="s">
        <v>60</v>
      </c>
      <c r="F60" s="3"/>
      <c r="G60" s="149"/>
      <c r="H60" s="153"/>
      <c r="I60" s="32"/>
    </row>
    <row r="61" spans="2:9" ht="22.5" customHeight="1" x14ac:dyDescent="0.55000000000000004">
      <c r="B61" s="27">
        <v>28</v>
      </c>
      <c r="C61" s="72" t="s">
        <v>132</v>
      </c>
      <c r="D61" s="2" t="s">
        <v>98</v>
      </c>
      <c r="E61" s="18" t="s">
        <v>209</v>
      </c>
      <c r="F61" s="30">
        <f>60500*1.07</f>
        <v>64735.000000000007</v>
      </c>
      <c r="G61" s="31">
        <v>44483</v>
      </c>
      <c r="H61" s="151" t="s">
        <v>210</v>
      </c>
      <c r="I61" s="27">
        <v>1</v>
      </c>
    </row>
    <row r="62" spans="2:9" ht="16.5" customHeight="1" x14ac:dyDescent="0.55000000000000004">
      <c r="B62" s="32"/>
      <c r="C62" s="33"/>
      <c r="D62" s="100"/>
      <c r="E62" s="13"/>
      <c r="F62" s="3"/>
      <c r="G62" s="149"/>
      <c r="H62" s="153"/>
      <c r="I62" s="32"/>
    </row>
    <row r="63" spans="2:9" ht="21" customHeight="1" x14ac:dyDescent="0.55000000000000004">
      <c r="B63" s="27">
        <v>29</v>
      </c>
      <c r="C63" s="23" t="s">
        <v>64</v>
      </c>
      <c r="D63" s="12" t="s">
        <v>49</v>
      </c>
      <c r="E63" s="120" t="s">
        <v>211</v>
      </c>
      <c r="F63" s="125">
        <f>4640*1.07</f>
        <v>4964.8</v>
      </c>
      <c r="G63" s="97">
        <v>44484</v>
      </c>
      <c r="H63" s="178" t="s">
        <v>212</v>
      </c>
      <c r="I63" s="126">
        <v>1</v>
      </c>
    </row>
    <row r="64" spans="2:9" ht="19.5" customHeight="1" x14ac:dyDescent="0.55000000000000004">
      <c r="B64" s="32"/>
      <c r="C64" s="43"/>
      <c r="D64" s="100"/>
      <c r="E64" s="127" t="s">
        <v>213</v>
      </c>
      <c r="F64" s="128"/>
      <c r="G64" s="149"/>
      <c r="H64" s="153"/>
      <c r="I64" s="32"/>
    </row>
    <row r="65" spans="2:9" ht="22.5" customHeight="1" x14ac:dyDescent="0.55000000000000004">
      <c r="B65" s="27">
        <v>30</v>
      </c>
      <c r="C65" s="11" t="s">
        <v>41</v>
      </c>
      <c r="D65" s="2" t="s">
        <v>109</v>
      </c>
      <c r="E65" s="18" t="s">
        <v>214</v>
      </c>
      <c r="F65" s="129">
        <f>2760*1.07</f>
        <v>2953.2000000000003</v>
      </c>
      <c r="G65" s="97">
        <v>44487</v>
      </c>
      <c r="H65" s="151" t="s">
        <v>215</v>
      </c>
      <c r="I65" s="27">
        <v>1</v>
      </c>
    </row>
    <row r="66" spans="2:9" ht="19.5" customHeight="1" x14ac:dyDescent="0.55000000000000004">
      <c r="B66" s="70"/>
      <c r="C66" s="85"/>
      <c r="D66" s="89" t="s">
        <v>216</v>
      </c>
      <c r="E66" s="38"/>
      <c r="F66" s="130"/>
      <c r="G66" s="149"/>
      <c r="H66" s="153"/>
      <c r="I66" s="70"/>
    </row>
    <row r="67" spans="2:9" ht="22.5" customHeight="1" x14ac:dyDescent="0.55000000000000004">
      <c r="B67" s="39">
        <v>31</v>
      </c>
      <c r="C67" s="42" t="s">
        <v>128</v>
      </c>
      <c r="D67" s="120" t="s">
        <v>217</v>
      </c>
      <c r="E67" s="18" t="s">
        <v>218</v>
      </c>
      <c r="F67" s="99">
        <f>26493.4*1.07</f>
        <v>28347.938000000002</v>
      </c>
      <c r="G67" s="97">
        <v>44487</v>
      </c>
      <c r="H67" s="151" t="s">
        <v>219</v>
      </c>
      <c r="I67" s="27">
        <v>1</v>
      </c>
    </row>
    <row r="68" spans="2:9" ht="22.5" customHeight="1" x14ac:dyDescent="0.55000000000000004">
      <c r="B68" s="41"/>
      <c r="C68" s="32"/>
      <c r="D68" s="66"/>
      <c r="E68" s="13" t="s">
        <v>220</v>
      </c>
      <c r="F68" s="5"/>
      <c r="G68" s="149"/>
      <c r="H68" s="153"/>
      <c r="I68" s="32"/>
    </row>
    <row r="69" spans="2:9" ht="22.5" customHeight="1" x14ac:dyDescent="0.55000000000000004">
      <c r="B69" s="27">
        <v>32</v>
      </c>
      <c r="C69" s="42" t="s">
        <v>73</v>
      </c>
      <c r="D69" s="117" t="s">
        <v>221</v>
      </c>
      <c r="E69" s="18" t="s">
        <v>222</v>
      </c>
      <c r="F69" s="30">
        <f>77500*1.07</f>
        <v>82925</v>
      </c>
      <c r="G69" s="97">
        <v>44487</v>
      </c>
      <c r="H69" s="151" t="s">
        <v>223</v>
      </c>
      <c r="I69" s="46">
        <v>1</v>
      </c>
    </row>
    <row r="70" spans="2:9" ht="20.25" customHeight="1" x14ac:dyDescent="0.55000000000000004">
      <c r="B70" s="32"/>
      <c r="C70" s="32"/>
      <c r="D70" s="69"/>
      <c r="E70" s="13" t="s">
        <v>58</v>
      </c>
      <c r="F70" s="3"/>
      <c r="G70" s="149"/>
      <c r="H70" s="153"/>
      <c r="I70" s="47"/>
    </row>
    <row r="71" spans="2:9" ht="22.5" customHeight="1" x14ac:dyDescent="0.55000000000000004">
      <c r="B71" s="27">
        <v>33</v>
      </c>
      <c r="C71" s="72" t="s">
        <v>224</v>
      </c>
      <c r="D71" s="115" t="s">
        <v>225</v>
      </c>
      <c r="E71" s="18" t="s">
        <v>226</v>
      </c>
      <c r="F71" s="30">
        <f>72900*1.07</f>
        <v>78003</v>
      </c>
      <c r="G71" s="97">
        <v>44487</v>
      </c>
      <c r="H71" s="172" t="s">
        <v>227</v>
      </c>
      <c r="I71" s="27">
        <v>1</v>
      </c>
    </row>
    <row r="72" spans="2:9" ht="22.5" customHeight="1" x14ac:dyDescent="0.55000000000000004">
      <c r="B72" s="32"/>
      <c r="C72" s="32"/>
      <c r="D72" s="105" t="s">
        <v>111</v>
      </c>
      <c r="E72" s="13" t="s">
        <v>228</v>
      </c>
      <c r="F72" s="3"/>
      <c r="G72" s="149"/>
      <c r="H72" s="153"/>
      <c r="I72" s="32"/>
    </row>
    <row r="73" spans="2:9" ht="22.5" customHeight="1" x14ac:dyDescent="0.55000000000000004">
      <c r="B73" s="27">
        <v>34</v>
      </c>
      <c r="C73" s="72" t="s">
        <v>91</v>
      </c>
      <c r="D73" s="117" t="s">
        <v>229</v>
      </c>
      <c r="E73" s="120" t="s">
        <v>230</v>
      </c>
      <c r="F73" s="131">
        <f>82715*1.07</f>
        <v>88505.05</v>
      </c>
      <c r="G73" s="97">
        <v>44488</v>
      </c>
      <c r="H73" s="151" t="s">
        <v>231</v>
      </c>
      <c r="I73" s="27">
        <v>1</v>
      </c>
    </row>
    <row r="74" spans="2:9" ht="22.5" customHeight="1" x14ac:dyDescent="0.55000000000000004">
      <c r="B74" s="32"/>
      <c r="C74" s="33"/>
      <c r="D74" s="100"/>
      <c r="E74" s="1" t="s">
        <v>958</v>
      </c>
      <c r="F74" s="47"/>
      <c r="G74" s="149"/>
      <c r="H74" s="153"/>
      <c r="I74" s="32"/>
    </row>
    <row r="75" spans="2:9" ht="22.5" customHeight="1" x14ac:dyDescent="0.55000000000000004">
      <c r="B75" s="70">
        <v>35</v>
      </c>
      <c r="C75" s="231" t="s">
        <v>232</v>
      </c>
      <c r="D75" s="8" t="s">
        <v>233</v>
      </c>
      <c r="E75" s="38" t="s">
        <v>234</v>
      </c>
      <c r="F75" s="68">
        <f>85600*1.07</f>
        <v>91592</v>
      </c>
      <c r="G75" s="78">
        <v>44488</v>
      </c>
      <c r="H75" s="172" t="s">
        <v>235</v>
      </c>
      <c r="I75" s="102">
        <v>1</v>
      </c>
    </row>
    <row r="76" spans="2:9" ht="20.25" customHeight="1" x14ac:dyDescent="0.55000000000000004">
      <c r="B76" s="32"/>
      <c r="C76" s="33"/>
      <c r="D76" s="100" t="s">
        <v>236</v>
      </c>
      <c r="E76" s="13" t="s">
        <v>30</v>
      </c>
      <c r="F76" s="3"/>
      <c r="G76" s="149"/>
      <c r="H76" s="153"/>
      <c r="I76" s="47"/>
    </row>
    <row r="77" spans="2:9" ht="22.5" customHeight="1" x14ac:dyDescent="0.55000000000000004">
      <c r="B77" s="27">
        <v>36</v>
      </c>
      <c r="C77" s="118" t="s">
        <v>237</v>
      </c>
      <c r="D77" s="117" t="s">
        <v>238</v>
      </c>
      <c r="E77" s="18" t="s">
        <v>239</v>
      </c>
      <c r="F77" s="30">
        <f>88000*1.07</f>
        <v>94160</v>
      </c>
      <c r="G77" s="97">
        <v>44488</v>
      </c>
      <c r="H77" s="151" t="s">
        <v>240</v>
      </c>
      <c r="I77" s="27">
        <v>1</v>
      </c>
    </row>
    <row r="78" spans="2:9" ht="21.75" customHeight="1" x14ac:dyDescent="0.55000000000000004">
      <c r="B78" s="32"/>
      <c r="C78" s="33"/>
      <c r="D78" s="100" t="s">
        <v>241</v>
      </c>
      <c r="E78" s="13"/>
      <c r="F78" s="3"/>
      <c r="G78" s="149"/>
      <c r="H78" s="153"/>
      <c r="I78" s="32"/>
    </row>
    <row r="79" spans="2:9" ht="22.5" customHeight="1" x14ac:dyDescent="0.55000000000000004">
      <c r="B79" s="27">
        <v>37</v>
      </c>
      <c r="C79" s="27" t="s">
        <v>242</v>
      </c>
      <c r="D79" s="132" t="s">
        <v>243</v>
      </c>
      <c r="E79" s="18" t="s">
        <v>244</v>
      </c>
      <c r="F79" s="30">
        <f>2680*1.07</f>
        <v>2867.6000000000004</v>
      </c>
      <c r="G79" s="97">
        <v>44489</v>
      </c>
      <c r="H79" s="155" t="s">
        <v>245</v>
      </c>
      <c r="I79" s="27">
        <v>1</v>
      </c>
    </row>
    <row r="80" spans="2:9" ht="22.5" customHeight="1" x14ac:dyDescent="0.55000000000000004">
      <c r="B80" s="32"/>
      <c r="C80" s="32"/>
      <c r="D80" s="105" t="s">
        <v>246</v>
      </c>
      <c r="E80" s="13" t="s">
        <v>58</v>
      </c>
      <c r="F80" s="3"/>
      <c r="G80" s="149"/>
      <c r="H80" s="153"/>
      <c r="I80" s="32"/>
    </row>
    <row r="81" spans="2:9" ht="22.5" customHeight="1" x14ac:dyDescent="0.55000000000000004">
      <c r="B81" s="27">
        <v>38</v>
      </c>
      <c r="C81" s="7" t="s">
        <v>242</v>
      </c>
      <c r="D81" s="132" t="s">
        <v>243</v>
      </c>
      <c r="E81" s="18" t="s">
        <v>247</v>
      </c>
      <c r="F81" s="92">
        <f>2400*1.07</f>
        <v>2568</v>
      </c>
      <c r="G81" s="97">
        <v>44489</v>
      </c>
      <c r="H81" s="151" t="s">
        <v>248</v>
      </c>
      <c r="I81" s="27">
        <v>1</v>
      </c>
    </row>
    <row r="82" spans="2:9" ht="22.5" customHeight="1" x14ac:dyDescent="0.55000000000000004">
      <c r="B82" s="32"/>
      <c r="C82" s="32"/>
      <c r="D82" s="105" t="s">
        <v>246</v>
      </c>
      <c r="E82" s="13"/>
      <c r="F82" s="121"/>
      <c r="G82" s="149"/>
      <c r="H82" s="153"/>
      <c r="I82" s="32"/>
    </row>
    <row r="83" spans="2:9" ht="22.5" customHeight="1" x14ac:dyDescent="0.55000000000000004">
      <c r="B83" s="27">
        <v>39</v>
      </c>
      <c r="C83" s="7" t="s">
        <v>242</v>
      </c>
      <c r="D83" s="132" t="s">
        <v>243</v>
      </c>
      <c r="E83" s="18" t="s">
        <v>249</v>
      </c>
      <c r="F83" s="92">
        <f>12500*1.07</f>
        <v>13375</v>
      </c>
      <c r="G83" s="97">
        <v>44489</v>
      </c>
      <c r="H83" s="172" t="s">
        <v>250</v>
      </c>
      <c r="I83" s="46">
        <v>1</v>
      </c>
    </row>
    <row r="84" spans="2:9" ht="22.5" customHeight="1" x14ac:dyDescent="0.55000000000000004">
      <c r="B84" s="32"/>
      <c r="C84" s="32"/>
      <c r="D84" s="105" t="s">
        <v>246</v>
      </c>
      <c r="E84" s="38"/>
      <c r="F84" s="19"/>
      <c r="G84" s="149"/>
      <c r="H84" s="154"/>
      <c r="I84" s="47"/>
    </row>
    <row r="85" spans="2:9" ht="22.5" customHeight="1" x14ac:dyDescent="0.55000000000000004">
      <c r="B85" s="27">
        <v>40</v>
      </c>
      <c r="C85" s="23" t="s">
        <v>64</v>
      </c>
      <c r="D85" s="64" t="s">
        <v>49</v>
      </c>
      <c r="E85" s="18" t="s">
        <v>251</v>
      </c>
      <c r="F85" s="122">
        <f>5120*1.07</f>
        <v>5478.4000000000005</v>
      </c>
      <c r="G85" s="97">
        <v>44489</v>
      </c>
      <c r="H85" s="151" t="s">
        <v>252</v>
      </c>
      <c r="I85" s="27">
        <v>1</v>
      </c>
    </row>
    <row r="86" spans="2:9" ht="22.5" customHeight="1" x14ac:dyDescent="0.55000000000000004">
      <c r="B86" s="32"/>
      <c r="C86" s="33"/>
      <c r="D86" s="105"/>
      <c r="E86" s="13" t="s">
        <v>253</v>
      </c>
      <c r="F86" s="133"/>
      <c r="G86" s="149"/>
      <c r="H86" s="171"/>
      <c r="I86" s="32"/>
    </row>
    <row r="87" spans="2:9" ht="22.5" customHeight="1" x14ac:dyDescent="0.55000000000000004">
      <c r="B87" s="27">
        <v>41</v>
      </c>
      <c r="C87" s="134" t="s">
        <v>254</v>
      </c>
      <c r="D87" s="67" t="s">
        <v>255</v>
      </c>
      <c r="E87" s="38" t="s">
        <v>256</v>
      </c>
      <c r="F87" s="122">
        <f>22140*1.07</f>
        <v>23689.800000000003</v>
      </c>
      <c r="G87" s="97">
        <v>44496</v>
      </c>
      <c r="H87" s="151" t="s">
        <v>257</v>
      </c>
      <c r="I87" s="27">
        <v>1</v>
      </c>
    </row>
    <row r="88" spans="2:9" ht="22.5" customHeight="1" x14ac:dyDescent="0.55000000000000004">
      <c r="B88" s="32"/>
      <c r="C88" s="33"/>
      <c r="D88" s="67"/>
      <c r="E88" s="13"/>
      <c r="F88" s="130"/>
      <c r="G88" s="149"/>
      <c r="H88" s="179"/>
      <c r="I88" s="32"/>
    </row>
    <row r="89" spans="2:9" ht="22.5" customHeight="1" x14ac:dyDescent="0.55000000000000004">
      <c r="B89" s="27">
        <v>42</v>
      </c>
      <c r="C89" s="85" t="s">
        <v>242</v>
      </c>
      <c r="D89" s="135" t="s">
        <v>243</v>
      </c>
      <c r="E89" s="12" t="s">
        <v>258</v>
      </c>
      <c r="F89" s="30">
        <f>2950*1.07</f>
        <v>3156.5</v>
      </c>
      <c r="G89" s="97">
        <v>44496</v>
      </c>
      <c r="H89" s="155" t="s">
        <v>259</v>
      </c>
      <c r="I89" s="46">
        <v>1</v>
      </c>
    </row>
    <row r="90" spans="2:9" ht="22.5" customHeight="1" x14ac:dyDescent="0.55000000000000004">
      <c r="B90" s="32"/>
      <c r="C90" s="85"/>
      <c r="D90" s="66" t="s">
        <v>246</v>
      </c>
      <c r="E90" s="12" t="s">
        <v>58</v>
      </c>
      <c r="F90" s="3"/>
      <c r="G90" s="149"/>
      <c r="H90" s="153"/>
      <c r="I90" s="47"/>
    </row>
    <row r="91" spans="2:9" ht="22.5" customHeight="1" x14ac:dyDescent="0.55000000000000004">
      <c r="B91" s="27">
        <v>43</v>
      </c>
      <c r="C91" s="27" t="s">
        <v>260</v>
      </c>
      <c r="D91" s="132" t="s">
        <v>261</v>
      </c>
      <c r="E91" s="18" t="s">
        <v>262</v>
      </c>
      <c r="F91" s="92">
        <f>72800*1.07</f>
        <v>77896</v>
      </c>
      <c r="G91" s="31">
        <v>44496</v>
      </c>
      <c r="H91" s="155" t="s">
        <v>263</v>
      </c>
      <c r="I91" s="27">
        <v>1</v>
      </c>
    </row>
    <row r="92" spans="2:9" ht="22.5" customHeight="1" x14ac:dyDescent="0.55000000000000004">
      <c r="B92" s="32"/>
      <c r="C92" s="32"/>
      <c r="D92" s="105"/>
      <c r="E92" s="13" t="s">
        <v>264</v>
      </c>
      <c r="F92" s="121"/>
      <c r="G92" s="149"/>
      <c r="H92" s="153"/>
      <c r="I92" s="32"/>
    </row>
    <row r="93" spans="2:9" ht="22.5" customHeight="1" x14ac:dyDescent="0.55000000000000004">
      <c r="B93" s="27">
        <v>44</v>
      </c>
      <c r="C93" s="136" t="s">
        <v>74</v>
      </c>
      <c r="D93" s="135" t="s">
        <v>265</v>
      </c>
      <c r="E93" s="12" t="s">
        <v>266</v>
      </c>
      <c r="F93" s="30">
        <f>63080*1.07</f>
        <v>67495.600000000006</v>
      </c>
      <c r="G93" s="31">
        <v>44496</v>
      </c>
      <c r="H93" s="154" t="s">
        <v>267</v>
      </c>
      <c r="I93" s="46">
        <v>1</v>
      </c>
    </row>
    <row r="94" spans="2:9" ht="20.25" customHeight="1" x14ac:dyDescent="0.55000000000000004">
      <c r="B94" s="32"/>
      <c r="C94" s="70"/>
      <c r="D94" s="89"/>
      <c r="E94" s="12" t="s">
        <v>268</v>
      </c>
      <c r="F94" s="14"/>
      <c r="G94" s="149"/>
      <c r="H94" s="154"/>
      <c r="I94" s="47"/>
    </row>
    <row r="95" spans="2:9" ht="22.5" customHeight="1" x14ac:dyDescent="0.55000000000000004">
      <c r="B95" s="27">
        <v>45</v>
      </c>
      <c r="C95" s="27" t="s">
        <v>207</v>
      </c>
      <c r="D95" s="137" t="s">
        <v>109</v>
      </c>
      <c r="E95" s="18" t="s">
        <v>269</v>
      </c>
      <c r="F95" s="30">
        <f>11772*1.07</f>
        <v>12596.04</v>
      </c>
      <c r="G95" s="31">
        <v>44496</v>
      </c>
      <c r="H95" s="155" t="s">
        <v>270</v>
      </c>
      <c r="I95" s="27">
        <v>1</v>
      </c>
    </row>
    <row r="96" spans="2:9" ht="21" customHeight="1" x14ac:dyDescent="0.55000000000000004">
      <c r="B96" s="32"/>
      <c r="C96" s="32"/>
      <c r="D96" s="69" t="s">
        <v>110</v>
      </c>
      <c r="E96" s="13"/>
      <c r="F96" s="3"/>
      <c r="G96" s="149"/>
      <c r="H96" s="153"/>
      <c r="I96" s="32"/>
    </row>
    <row r="97" spans="2:9" ht="22.5" customHeight="1" x14ac:dyDescent="0.55000000000000004">
      <c r="B97" s="27">
        <v>46</v>
      </c>
      <c r="C97" s="27" t="s">
        <v>188</v>
      </c>
      <c r="D97" s="132" t="s">
        <v>90</v>
      </c>
      <c r="E97" s="18" t="s">
        <v>271</v>
      </c>
      <c r="F97" s="30">
        <f>8892*1.07</f>
        <v>9514.44</v>
      </c>
      <c r="G97" s="31">
        <v>44496</v>
      </c>
      <c r="H97" s="155" t="s">
        <v>272</v>
      </c>
      <c r="I97" s="27">
        <v>1</v>
      </c>
    </row>
    <row r="98" spans="2:9" ht="22.5" customHeight="1" x14ac:dyDescent="0.55000000000000004">
      <c r="B98" s="32"/>
      <c r="C98" s="32"/>
      <c r="D98" s="105"/>
      <c r="E98" s="13" t="s">
        <v>273</v>
      </c>
      <c r="F98" s="3"/>
      <c r="G98" s="149"/>
      <c r="H98" s="153"/>
      <c r="I98" s="32"/>
    </row>
    <row r="99" spans="2:9" ht="22.5" customHeight="1" x14ac:dyDescent="0.55000000000000004">
      <c r="B99" s="27">
        <v>47</v>
      </c>
      <c r="C99" s="72" t="s">
        <v>105</v>
      </c>
      <c r="D99" s="132" t="s">
        <v>274</v>
      </c>
      <c r="E99" s="18" t="s">
        <v>275</v>
      </c>
      <c r="F99" s="30">
        <f>3500*1.07</f>
        <v>3745</v>
      </c>
      <c r="G99" s="31">
        <v>44496</v>
      </c>
      <c r="H99" s="155" t="s">
        <v>276</v>
      </c>
      <c r="I99" s="46">
        <v>1</v>
      </c>
    </row>
    <row r="100" spans="2:9" ht="22.5" customHeight="1" x14ac:dyDescent="0.55000000000000004">
      <c r="B100" s="32"/>
      <c r="C100" s="32"/>
      <c r="D100" s="105"/>
      <c r="E100" s="13" t="s">
        <v>58</v>
      </c>
      <c r="F100" s="3"/>
      <c r="G100" s="149"/>
      <c r="H100" s="153"/>
      <c r="I100" s="47"/>
    </row>
    <row r="101" spans="2:9" ht="22.5" customHeight="1" x14ac:dyDescent="0.55000000000000004">
      <c r="B101" s="27">
        <v>48</v>
      </c>
      <c r="C101" s="27" t="s">
        <v>277</v>
      </c>
      <c r="D101" s="132" t="s">
        <v>122</v>
      </c>
      <c r="E101" s="18" t="s">
        <v>278</v>
      </c>
      <c r="F101" s="30">
        <f>1650*1.07</f>
        <v>1765.5</v>
      </c>
      <c r="G101" s="31">
        <v>44496</v>
      </c>
      <c r="H101" s="155" t="s">
        <v>279</v>
      </c>
      <c r="I101" s="27">
        <v>1</v>
      </c>
    </row>
    <row r="102" spans="2:9" ht="18" customHeight="1" x14ac:dyDescent="0.55000000000000004">
      <c r="B102" s="32"/>
      <c r="C102" s="32"/>
      <c r="D102" s="105"/>
      <c r="E102" s="13"/>
      <c r="F102" s="3"/>
      <c r="G102" s="149"/>
      <c r="H102" s="153"/>
      <c r="I102" s="32"/>
    </row>
    <row r="103" spans="2:9" ht="22.5" customHeight="1" x14ac:dyDescent="0.55000000000000004">
      <c r="B103" s="27">
        <v>49</v>
      </c>
      <c r="C103" s="27" t="s">
        <v>242</v>
      </c>
      <c r="D103" s="132" t="s">
        <v>243</v>
      </c>
      <c r="E103" s="18" t="s">
        <v>280</v>
      </c>
      <c r="F103" s="30">
        <f>14880*1.07</f>
        <v>15921.6</v>
      </c>
      <c r="G103" s="31">
        <v>44496</v>
      </c>
      <c r="H103" s="155" t="s">
        <v>281</v>
      </c>
      <c r="I103" s="46">
        <v>1</v>
      </c>
    </row>
    <row r="104" spans="2:9" ht="22.5" customHeight="1" x14ac:dyDescent="0.55000000000000004">
      <c r="B104" s="32"/>
      <c r="C104" s="32"/>
      <c r="D104" s="105" t="s">
        <v>246</v>
      </c>
      <c r="E104" s="13" t="s">
        <v>30</v>
      </c>
      <c r="F104" s="3"/>
      <c r="G104" s="149"/>
      <c r="H104" s="153"/>
      <c r="I104" s="47"/>
    </row>
    <row r="105" spans="2:9" ht="22.5" customHeight="1" x14ac:dyDescent="0.55000000000000004">
      <c r="B105" s="27">
        <v>50</v>
      </c>
      <c r="C105" s="72" t="s">
        <v>105</v>
      </c>
      <c r="D105" s="132" t="s">
        <v>282</v>
      </c>
      <c r="E105" s="18" t="s">
        <v>275</v>
      </c>
      <c r="F105" s="30">
        <f>7000*1.07</f>
        <v>7490</v>
      </c>
      <c r="G105" s="31">
        <v>44496</v>
      </c>
      <c r="H105" s="155" t="s">
        <v>283</v>
      </c>
      <c r="I105" s="27">
        <v>1</v>
      </c>
    </row>
    <row r="106" spans="2:9" ht="22.5" customHeight="1" x14ac:dyDescent="0.55000000000000004">
      <c r="B106" s="32"/>
      <c r="C106" s="32"/>
      <c r="D106" s="105" t="s">
        <v>284</v>
      </c>
      <c r="E106" s="13" t="s">
        <v>58</v>
      </c>
      <c r="F106" s="3"/>
      <c r="G106" s="149"/>
      <c r="H106" s="153"/>
      <c r="I106" s="32"/>
    </row>
    <row r="107" spans="2:9" ht="22.5" customHeight="1" x14ac:dyDescent="0.55000000000000004">
      <c r="B107" s="27">
        <v>51</v>
      </c>
      <c r="C107" s="27" t="s">
        <v>242</v>
      </c>
      <c r="D107" s="132" t="s">
        <v>243</v>
      </c>
      <c r="E107" s="18" t="s">
        <v>285</v>
      </c>
      <c r="F107" s="92">
        <f>4400*1.07</f>
        <v>4708</v>
      </c>
      <c r="G107" s="31">
        <v>44496</v>
      </c>
      <c r="H107" s="155" t="s">
        <v>286</v>
      </c>
      <c r="I107" s="27">
        <v>1</v>
      </c>
    </row>
    <row r="108" spans="2:9" ht="22.5" customHeight="1" x14ac:dyDescent="0.55000000000000004">
      <c r="B108" s="32"/>
      <c r="C108" s="32"/>
      <c r="D108" s="105" t="s">
        <v>246</v>
      </c>
      <c r="E108" s="13"/>
      <c r="F108" s="121"/>
      <c r="G108" s="149"/>
      <c r="H108" s="153"/>
      <c r="I108" s="32"/>
    </row>
    <row r="109" spans="2:9" ht="22.5" customHeight="1" x14ac:dyDescent="0.55000000000000004">
      <c r="B109" s="27">
        <v>52</v>
      </c>
      <c r="C109" s="27" t="s">
        <v>287</v>
      </c>
      <c r="D109" s="137" t="s">
        <v>114</v>
      </c>
      <c r="E109" s="18" t="s">
        <v>288</v>
      </c>
      <c r="F109" s="92">
        <f>1160*1.07</f>
        <v>1241.2</v>
      </c>
      <c r="G109" s="31">
        <v>44496</v>
      </c>
      <c r="H109" s="155" t="s">
        <v>289</v>
      </c>
      <c r="I109" s="27">
        <v>1</v>
      </c>
    </row>
    <row r="110" spans="2:9" ht="22.5" customHeight="1" x14ac:dyDescent="0.55000000000000004">
      <c r="B110" s="70"/>
      <c r="C110" s="70"/>
      <c r="D110" s="140" t="s">
        <v>110</v>
      </c>
      <c r="E110" s="38"/>
      <c r="F110" s="19"/>
      <c r="G110" s="218"/>
      <c r="H110" s="154"/>
      <c r="I110" s="70"/>
    </row>
    <row r="111" spans="2:9" ht="22.5" customHeight="1" x14ac:dyDescent="0.55000000000000004">
      <c r="B111" s="27">
        <v>53</v>
      </c>
      <c r="C111" s="27" t="s">
        <v>277</v>
      </c>
      <c r="D111" s="137" t="s">
        <v>290</v>
      </c>
      <c r="E111" s="18" t="s">
        <v>291</v>
      </c>
      <c r="F111" s="30">
        <f>3085*1.07</f>
        <v>3300.9500000000003</v>
      </c>
      <c r="G111" s="31">
        <v>44496</v>
      </c>
      <c r="H111" s="155" t="s">
        <v>292</v>
      </c>
      <c r="I111" s="27">
        <v>1</v>
      </c>
    </row>
    <row r="112" spans="2:9" ht="22.5" customHeight="1" x14ac:dyDescent="0.55000000000000004">
      <c r="B112" s="32"/>
      <c r="C112" s="32"/>
      <c r="D112" s="69"/>
      <c r="E112" s="13" t="s">
        <v>60</v>
      </c>
      <c r="F112" s="3"/>
      <c r="G112" s="149"/>
      <c r="H112" s="153"/>
      <c r="I112" s="32"/>
    </row>
    <row r="113" spans="2:10" ht="22.5" customHeight="1" x14ac:dyDescent="0.55000000000000004">
      <c r="B113" s="27">
        <v>54</v>
      </c>
      <c r="C113" s="27" t="s">
        <v>207</v>
      </c>
      <c r="D113" s="137" t="s">
        <v>109</v>
      </c>
      <c r="E113" s="18" t="s">
        <v>293</v>
      </c>
      <c r="F113" s="30">
        <f>34848*1.07</f>
        <v>37287.360000000001</v>
      </c>
      <c r="G113" s="31">
        <v>44496</v>
      </c>
      <c r="H113" s="155" t="s">
        <v>294</v>
      </c>
      <c r="I113" s="46">
        <v>1</v>
      </c>
    </row>
    <row r="114" spans="2:10" ht="22.5" customHeight="1" x14ac:dyDescent="0.55000000000000004">
      <c r="B114" s="32"/>
      <c r="C114" s="32"/>
      <c r="D114" s="69" t="s">
        <v>110</v>
      </c>
      <c r="E114" s="13" t="s">
        <v>58</v>
      </c>
      <c r="F114" s="3"/>
      <c r="G114" s="149"/>
      <c r="H114" s="153"/>
      <c r="I114" s="47"/>
    </row>
    <row r="115" spans="2:10" ht="22.5" customHeight="1" x14ac:dyDescent="0.55000000000000004">
      <c r="B115" s="27">
        <v>55</v>
      </c>
      <c r="C115" s="72" t="s">
        <v>44</v>
      </c>
      <c r="D115" s="137" t="s">
        <v>114</v>
      </c>
      <c r="E115" s="18" t="s">
        <v>295</v>
      </c>
      <c r="F115" s="30">
        <f>7900*1.07</f>
        <v>8453</v>
      </c>
      <c r="G115" s="31">
        <v>44496</v>
      </c>
      <c r="H115" s="155" t="s">
        <v>296</v>
      </c>
      <c r="I115" s="27">
        <v>1</v>
      </c>
    </row>
    <row r="116" spans="2:10" ht="22.5" customHeight="1" x14ac:dyDescent="0.55000000000000004">
      <c r="B116" s="32"/>
      <c r="C116" s="32"/>
      <c r="D116" s="69" t="s">
        <v>110</v>
      </c>
      <c r="E116" s="13"/>
      <c r="F116" s="3"/>
      <c r="G116" s="149"/>
      <c r="H116" s="153"/>
      <c r="I116" s="32"/>
    </row>
    <row r="117" spans="2:10" ht="22.5" customHeight="1" x14ac:dyDescent="0.55000000000000004">
      <c r="B117" s="27">
        <v>56</v>
      </c>
      <c r="C117" s="114" t="s">
        <v>69</v>
      </c>
      <c r="D117" s="22" t="s">
        <v>297</v>
      </c>
      <c r="E117" s="18" t="s">
        <v>298</v>
      </c>
      <c r="F117" s="30">
        <f>12700*1.07</f>
        <v>13589</v>
      </c>
      <c r="G117" s="31">
        <v>44496</v>
      </c>
      <c r="H117" s="155" t="s">
        <v>299</v>
      </c>
      <c r="I117" s="27">
        <v>1</v>
      </c>
    </row>
    <row r="118" spans="2:10" ht="22.5" customHeight="1" x14ac:dyDescent="0.55000000000000004">
      <c r="B118" s="32"/>
      <c r="C118" s="33"/>
      <c r="D118" s="111" t="s">
        <v>300</v>
      </c>
      <c r="E118" s="13" t="s">
        <v>301</v>
      </c>
      <c r="F118" s="3"/>
      <c r="G118" s="149"/>
      <c r="H118" s="153"/>
      <c r="I118" s="32"/>
    </row>
    <row r="119" spans="2:10" ht="22.5" customHeight="1" x14ac:dyDescent="0.55000000000000004">
      <c r="B119" s="27">
        <v>57</v>
      </c>
      <c r="C119" s="27" t="s">
        <v>207</v>
      </c>
      <c r="D119" s="137" t="s">
        <v>109</v>
      </c>
      <c r="E119" s="18" t="s">
        <v>302</v>
      </c>
      <c r="F119" s="30">
        <f>30700*1.07</f>
        <v>32849</v>
      </c>
      <c r="G119" s="31">
        <v>44496</v>
      </c>
      <c r="H119" s="155" t="s">
        <v>303</v>
      </c>
      <c r="I119" s="46">
        <v>1</v>
      </c>
    </row>
    <row r="120" spans="2:10" ht="22.5" customHeight="1" x14ac:dyDescent="0.55000000000000004">
      <c r="B120" s="32"/>
      <c r="C120" s="32"/>
      <c r="D120" s="69" t="s">
        <v>110</v>
      </c>
      <c r="E120" s="13" t="s">
        <v>58</v>
      </c>
      <c r="F120" s="3"/>
      <c r="G120" s="149"/>
      <c r="H120" s="153"/>
      <c r="I120" s="47"/>
    </row>
    <row r="121" spans="2:10" ht="22.5" customHeight="1" x14ac:dyDescent="0.55000000000000004">
      <c r="B121" s="27">
        <v>58</v>
      </c>
      <c r="C121" s="134" t="s">
        <v>164</v>
      </c>
      <c r="D121" s="22" t="s">
        <v>53</v>
      </c>
      <c r="E121" s="62" t="s">
        <v>304</v>
      </c>
      <c r="F121" s="30">
        <f>45930*1.07</f>
        <v>49145.100000000006</v>
      </c>
      <c r="G121" s="31">
        <v>44498</v>
      </c>
      <c r="H121" s="155" t="s">
        <v>305</v>
      </c>
      <c r="I121" s="46">
        <v>1</v>
      </c>
    </row>
    <row r="122" spans="2:10" ht="22.5" customHeight="1" x14ac:dyDescent="0.55000000000000004">
      <c r="B122" s="32"/>
      <c r="C122" s="33"/>
      <c r="D122" s="111"/>
      <c r="E122" s="57" t="s">
        <v>58</v>
      </c>
      <c r="F122" s="3"/>
      <c r="G122" s="149"/>
      <c r="H122" s="153"/>
      <c r="I122" s="47"/>
    </row>
    <row r="123" spans="2:10" ht="22.5" customHeight="1" x14ac:dyDescent="0.55000000000000004">
      <c r="B123" s="27">
        <v>59</v>
      </c>
      <c r="C123" s="114" t="s">
        <v>306</v>
      </c>
      <c r="D123" s="22" t="s">
        <v>307</v>
      </c>
      <c r="E123" s="62" t="s">
        <v>308</v>
      </c>
      <c r="F123" s="30">
        <f>3264*1.07</f>
        <v>3492.48</v>
      </c>
      <c r="G123" s="31">
        <v>44498</v>
      </c>
      <c r="H123" s="155" t="s">
        <v>971</v>
      </c>
      <c r="I123" s="46">
        <v>1</v>
      </c>
    </row>
    <row r="124" spans="2:10" ht="22.5" customHeight="1" x14ac:dyDescent="0.55000000000000004">
      <c r="B124" s="32"/>
      <c r="C124" s="33"/>
      <c r="D124" s="111"/>
      <c r="E124" s="57"/>
      <c r="F124" s="3"/>
      <c r="G124" s="149"/>
      <c r="H124" s="153"/>
      <c r="I124" s="47"/>
    </row>
    <row r="125" spans="2:10" s="183" customFormat="1" ht="22.5" customHeight="1" x14ac:dyDescent="0.55000000000000004">
      <c r="B125" s="194">
        <v>60</v>
      </c>
      <c r="C125" s="114" t="s">
        <v>124</v>
      </c>
      <c r="D125" s="20" t="s">
        <v>309</v>
      </c>
      <c r="E125" s="184" t="s">
        <v>310</v>
      </c>
      <c r="F125" s="185">
        <f>39000*1.07</f>
        <v>41730</v>
      </c>
      <c r="G125" s="186">
        <v>44498</v>
      </c>
      <c r="H125" s="187" t="s">
        <v>311</v>
      </c>
      <c r="I125" s="188">
        <v>1</v>
      </c>
      <c r="J125" s="235">
        <f>SUM(F7:F125)</f>
        <v>2407263.9580000006</v>
      </c>
    </row>
    <row r="126" spans="2:10" s="183" customFormat="1" ht="22.5" customHeight="1" x14ac:dyDescent="0.55000000000000004">
      <c r="B126" s="33"/>
      <c r="C126" s="33"/>
      <c r="D126" s="189"/>
      <c r="E126" s="190"/>
      <c r="F126" s="191"/>
      <c r="G126" s="192"/>
      <c r="H126" s="193"/>
      <c r="I126" s="93"/>
    </row>
    <row r="127" spans="2:10" s="183" customFormat="1" ht="22.5" customHeight="1" x14ac:dyDescent="0.55000000000000004">
      <c r="B127" s="194">
        <v>61</v>
      </c>
      <c r="C127" s="114" t="s">
        <v>1036</v>
      </c>
      <c r="D127" s="213" t="s">
        <v>1037</v>
      </c>
      <c r="E127" s="214" t="s">
        <v>1038</v>
      </c>
      <c r="F127" s="216">
        <v>42038.16</v>
      </c>
      <c r="G127" s="49">
        <v>44501</v>
      </c>
      <c r="H127" s="187">
        <v>2105650001</v>
      </c>
      <c r="I127" s="188">
        <v>1</v>
      </c>
    </row>
    <row r="128" spans="2:10" s="183" customFormat="1" ht="22.5" customHeight="1" x14ac:dyDescent="0.55000000000000004">
      <c r="B128" s="33"/>
      <c r="C128" s="33"/>
      <c r="D128" s="212"/>
      <c r="E128" s="215"/>
      <c r="F128" s="191"/>
      <c r="G128" s="36"/>
      <c r="H128" s="193"/>
      <c r="I128" s="93"/>
    </row>
    <row r="129" spans="2:9" ht="22.5" customHeight="1" x14ac:dyDescent="0.55000000000000004">
      <c r="B129" s="194">
        <v>62</v>
      </c>
      <c r="C129" s="28" t="s">
        <v>312</v>
      </c>
      <c r="D129" s="29" t="s">
        <v>55</v>
      </c>
      <c r="E129" s="38" t="s">
        <v>313</v>
      </c>
      <c r="F129" s="68">
        <f>44500*1.07</f>
        <v>47615</v>
      </c>
      <c r="G129" s="49">
        <v>44501</v>
      </c>
      <c r="H129" s="172" t="s">
        <v>314</v>
      </c>
      <c r="I129" s="70">
        <v>1</v>
      </c>
    </row>
    <row r="130" spans="2:9" ht="22.5" customHeight="1" x14ac:dyDescent="0.55000000000000004">
      <c r="B130" s="33"/>
      <c r="C130" s="33"/>
      <c r="D130" s="34"/>
      <c r="E130" s="13"/>
      <c r="F130" s="35"/>
      <c r="G130" s="36"/>
      <c r="H130" s="152"/>
      <c r="I130" s="32"/>
    </row>
    <row r="131" spans="2:9" ht="22.5" customHeight="1" x14ac:dyDescent="0.55000000000000004">
      <c r="B131" s="194">
        <v>63</v>
      </c>
      <c r="C131" s="28" t="s">
        <v>315</v>
      </c>
      <c r="D131" s="29" t="s">
        <v>316</v>
      </c>
      <c r="E131" s="18" t="s">
        <v>317</v>
      </c>
      <c r="F131" s="30">
        <f>26880*1.07</f>
        <v>28761.600000000002</v>
      </c>
      <c r="G131" s="31">
        <v>44501</v>
      </c>
      <c r="H131" s="151" t="s">
        <v>973</v>
      </c>
      <c r="I131" s="27">
        <v>1</v>
      </c>
    </row>
    <row r="132" spans="2:9" ht="22.5" customHeight="1" x14ac:dyDescent="0.55000000000000004">
      <c r="B132" s="33"/>
      <c r="C132" s="33"/>
      <c r="D132" s="37"/>
      <c r="E132" s="38"/>
      <c r="F132" s="35"/>
      <c r="G132" s="36"/>
      <c r="H132" s="153"/>
      <c r="I132" s="32"/>
    </row>
    <row r="133" spans="2:9" ht="22.5" customHeight="1" x14ac:dyDescent="0.55000000000000004">
      <c r="B133" s="194">
        <v>64</v>
      </c>
      <c r="C133" s="15" t="s">
        <v>45</v>
      </c>
      <c r="D133" s="40" t="s">
        <v>115</v>
      </c>
      <c r="E133" s="18" t="s">
        <v>318</v>
      </c>
      <c r="F133" s="30">
        <f>87750*1.07</f>
        <v>93892.5</v>
      </c>
      <c r="G133" s="31">
        <v>44501</v>
      </c>
      <c r="H133" s="151" t="s">
        <v>974</v>
      </c>
      <c r="I133" s="27">
        <v>1</v>
      </c>
    </row>
    <row r="134" spans="2:9" ht="20.25" customHeight="1" x14ac:dyDescent="0.55000000000000004">
      <c r="B134" s="33"/>
      <c r="C134" s="33"/>
      <c r="D134" s="34"/>
      <c r="E134" s="13"/>
      <c r="F134" s="35"/>
      <c r="G134" s="36"/>
      <c r="H134" s="154"/>
      <c r="I134" s="32"/>
    </row>
    <row r="135" spans="2:9" ht="22.5" customHeight="1" x14ac:dyDescent="0.55000000000000004">
      <c r="B135" s="194">
        <v>65</v>
      </c>
      <c r="C135" s="42" t="s">
        <v>99</v>
      </c>
      <c r="D135" s="29" t="s">
        <v>319</v>
      </c>
      <c r="E135" s="18" t="s">
        <v>320</v>
      </c>
      <c r="F135" s="30">
        <f>74300*1.07</f>
        <v>79501</v>
      </c>
      <c r="G135" s="31">
        <v>44501</v>
      </c>
      <c r="H135" s="151" t="s">
        <v>321</v>
      </c>
      <c r="I135" s="27">
        <v>1</v>
      </c>
    </row>
    <row r="136" spans="2:9" ht="20.25" customHeight="1" x14ac:dyDescent="0.55000000000000004">
      <c r="B136" s="33"/>
      <c r="C136" s="43"/>
      <c r="D136" s="37"/>
      <c r="E136" s="13"/>
      <c r="F136" s="35"/>
      <c r="G136" s="36"/>
      <c r="H136" s="104"/>
      <c r="I136" s="32"/>
    </row>
    <row r="137" spans="2:9" ht="22.5" customHeight="1" x14ac:dyDescent="0.55000000000000004">
      <c r="B137" s="194">
        <v>66</v>
      </c>
      <c r="C137" s="44" t="s">
        <v>121</v>
      </c>
      <c r="D137" s="45" t="s">
        <v>322</v>
      </c>
      <c r="E137" s="18" t="s">
        <v>323</v>
      </c>
      <c r="F137" s="30">
        <f>85000*1.07</f>
        <v>90950</v>
      </c>
      <c r="G137" s="31">
        <v>44502</v>
      </c>
      <c r="H137" s="145" t="s">
        <v>972</v>
      </c>
      <c r="I137" s="46">
        <v>1</v>
      </c>
    </row>
    <row r="138" spans="2:9" ht="22.5" customHeight="1" x14ac:dyDescent="0.55000000000000004">
      <c r="B138" s="33"/>
      <c r="C138" s="43"/>
      <c r="D138" s="37"/>
      <c r="E138" s="13" t="s">
        <v>324</v>
      </c>
      <c r="F138" s="35"/>
      <c r="G138" s="36"/>
      <c r="H138" s="176"/>
      <c r="I138" s="47"/>
    </row>
    <row r="139" spans="2:9" ht="22.5" customHeight="1" x14ac:dyDescent="0.55000000000000004">
      <c r="B139" s="194">
        <v>67</v>
      </c>
      <c r="C139" s="44" t="s">
        <v>44</v>
      </c>
      <c r="D139" s="48" t="s">
        <v>88</v>
      </c>
      <c r="E139" s="38" t="s">
        <v>325</v>
      </c>
      <c r="F139" s="30">
        <f>92316*1.07</f>
        <v>98778.12000000001</v>
      </c>
      <c r="G139" s="49">
        <v>44502</v>
      </c>
      <c r="H139" s="155" t="s">
        <v>326</v>
      </c>
      <c r="I139" s="46">
        <v>1</v>
      </c>
    </row>
    <row r="140" spans="2:9" ht="22.5" customHeight="1" x14ac:dyDescent="0.55000000000000004">
      <c r="B140" s="33"/>
      <c r="C140" s="43"/>
      <c r="D140" s="50"/>
      <c r="E140" s="13" t="s">
        <v>327</v>
      </c>
      <c r="F140" s="35"/>
      <c r="G140" s="36"/>
      <c r="H140" s="153"/>
      <c r="I140" s="47"/>
    </row>
    <row r="141" spans="2:9" ht="22.5" customHeight="1" x14ac:dyDescent="0.55000000000000004">
      <c r="B141" s="194">
        <v>68</v>
      </c>
      <c r="C141" s="51" t="s">
        <v>42</v>
      </c>
      <c r="D141" s="52" t="s">
        <v>12</v>
      </c>
      <c r="E141" s="18" t="s">
        <v>328</v>
      </c>
      <c r="F141" s="30">
        <f>7000*1.07</f>
        <v>7490</v>
      </c>
      <c r="G141" s="31">
        <v>44502</v>
      </c>
      <c r="H141" s="155" t="s">
        <v>329</v>
      </c>
      <c r="I141" s="27">
        <v>1</v>
      </c>
    </row>
    <row r="142" spans="2:9" ht="20.25" customHeight="1" x14ac:dyDescent="0.55000000000000004">
      <c r="B142" s="33"/>
      <c r="C142" s="53"/>
      <c r="D142" s="34"/>
      <c r="E142" s="13"/>
      <c r="F142" s="35"/>
      <c r="G142" s="36"/>
      <c r="H142" s="153"/>
      <c r="I142" s="32"/>
    </row>
    <row r="143" spans="2:9" ht="22.5" customHeight="1" x14ac:dyDescent="0.55000000000000004">
      <c r="B143" s="194">
        <v>69</v>
      </c>
      <c r="C143" s="44" t="s">
        <v>67</v>
      </c>
      <c r="D143" s="52" t="s">
        <v>21</v>
      </c>
      <c r="E143" s="18" t="s">
        <v>330</v>
      </c>
      <c r="F143" s="30">
        <f>6942*1.07</f>
        <v>7427.9400000000005</v>
      </c>
      <c r="G143" s="31">
        <v>44503</v>
      </c>
      <c r="H143" s="155" t="s">
        <v>331</v>
      </c>
      <c r="I143" s="46">
        <v>1</v>
      </c>
    </row>
    <row r="144" spans="2:9" ht="22.5" customHeight="1" x14ac:dyDescent="0.55000000000000004">
      <c r="B144" s="33"/>
      <c r="C144" s="43"/>
      <c r="D144" s="34"/>
      <c r="E144" s="13" t="s">
        <v>332</v>
      </c>
      <c r="F144" s="35"/>
      <c r="G144" s="36"/>
      <c r="H144" s="153"/>
      <c r="I144" s="47"/>
    </row>
    <row r="145" spans="2:9" ht="22.5" customHeight="1" x14ac:dyDescent="0.55000000000000004">
      <c r="B145" s="194">
        <v>70</v>
      </c>
      <c r="C145" s="44" t="s">
        <v>64</v>
      </c>
      <c r="D145" s="54" t="s">
        <v>25</v>
      </c>
      <c r="E145" s="18" t="s">
        <v>333</v>
      </c>
      <c r="F145" s="30">
        <f>18000*1.07</f>
        <v>19260</v>
      </c>
      <c r="G145" s="31">
        <v>44503</v>
      </c>
      <c r="H145" s="155" t="s">
        <v>975</v>
      </c>
      <c r="I145" s="27">
        <v>1</v>
      </c>
    </row>
    <row r="146" spans="2:9" ht="22.5" customHeight="1" x14ac:dyDescent="0.55000000000000004">
      <c r="B146" s="33"/>
      <c r="C146" s="55"/>
      <c r="D146" s="56"/>
      <c r="E146" s="13" t="s">
        <v>324</v>
      </c>
      <c r="F146" s="35"/>
      <c r="G146" s="36"/>
      <c r="H146" s="153"/>
      <c r="I146" s="32"/>
    </row>
    <row r="147" spans="2:9" ht="22.5" customHeight="1" x14ac:dyDescent="0.55000000000000004">
      <c r="B147" s="194">
        <v>71</v>
      </c>
      <c r="C147" s="44" t="s">
        <v>67</v>
      </c>
      <c r="D147" s="48" t="s">
        <v>48</v>
      </c>
      <c r="E147" s="62" t="s">
        <v>334</v>
      </c>
      <c r="F147" s="30">
        <f>38844*1.07</f>
        <v>41563.08</v>
      </c>
      <c r="G147" s="31">
        <v>44503</v>
      </c>
      <c r="H147" s="155" t="s">
        <v>335</v>
      </c>
      <c r="I147" s="27">
        <v>1</v>
      </c>
    </row>
    <row r="148" spans="2:9" ht="22.5" customHeight="1" x14ac:dyDescent="0.55000000000000004">
      <c r="B148" s="33"/>
      <c r="C148" s="43"/>
      <c r="D148" s="50"/>
      <c r="E148" s="57" t="s">
        <v>332</v>
      </c>
      <c r="F148" s="35"/>
      <c r="G148" s="36"/>
      <c r="H148" s="153"/>
      <c r="I148" s="32"/>
    </row>
    <row r="149" spans="2:9" ht="22.5" customHeight="1" x14ac:dyDescent="0.55000000000000004">
      <c r="B149" s="27">
        <v>72</v>
      </c>
      <c r="C149" s="44" t="s">
        <v>336</v>
      </c>
      <c r="D149" s="52" t="s">
        <v>11</v>
      </c>
      <c r="E149" s="62" t="s">
        <v>337</v>
      </c>
      <c r="F149" s="30">
        <f>36250*1.07</f>
        <v>38787.5</v>
      </c>
      <c r="G149" s="31">
        <v>44503</v>
      </c>
      <c r="H149" s="155" t="s">
        <v>338</v>
      </c>
      <c r="I149" s="27">
        <v>1</v>
      </c>
    </row>
    <row r="150" spans="2:9" ht="22.5" customHeight="1" x14ac:dyDescent="0.55000000000000004">
      <c r="B150" s="32"/>
      <c r="C150" s="43"/>
      <c r="D150" s="34"/>
      <c r="E150" s="57" t="s">
        <v>332</v>
      </c>
      <c r="F150" s="35"/>
      <c r="G150" s="36"/>
      <c r="H150" s="153"/>
      <c r="I150" s="32"/>
    </row>
    <row r="151" spans="2:9" ht="22.5" customHeight="1" x14ac:dyDescent="0.55000000000000004">
      <c r="B151" s="27">
        <v>73</v>
      </c>
      <c r="C151" s="44" t="s">
        <v>64</v>
      </c>
      <c r="D151" s="54" t="s">
        <v>25</v>
      </c>
      <c r="E151" s="18" t="s">
        <v>339</v>
      </c>
      <c r="F151" s="30">
        <f>21000*1.07</f>
        <v>22470</v>
      </c>
      <c r="G151" s="31">
        <v>44503</v>
      </c>
      <c r="H151" s="155" t="s">
        <v>340</v>
      </c>
      <c r="I151" s="27">
        <v>1</v>
      </c>
    </row>
    <row r="152" spans="2:9" ht="22.5" customHeight="1" x14ac:dyDescent="0.55000000000000004">
      <c r="B152" s="32"/>
      <c r="C152" s="55"/>
      <c r="D152" s="56"/>
      <c r="E152" s="13" t="s">
        <v>341</v>
      </c>
      <c r="F152" s="35"/>
      <c r="G152" s="36"/>
      <c r="H152" s="153"/>
      <c r="I152" s="32"/>
    </row>
    <row r="153" spans="2:9" ht="22.5" customHeight="1" x14ac:dyDescent="0.55000000000000004">
      <c r="B153" s="27">
        <v>74</v>
      </c>
      <c r="C153" s="44" t="s">
        <v>67</v>
      </c>
      <c r="D153" s="52" t="s">
        <v>21</v>
      </c>
      <c r="E153" s="12" t="s">
        <v>342</v>
      </c>
      <c r="F153" s="30">
        <f>14778*1.07</f>
        <v>15812.460000000001</v>
      </c>
      <c r="G153" s="31">
        <v>44503</v>
      </c>
      <c r="H153" s="156" t="s">
        <v>343</v>
      </c>
      <c r="I153" s="27">
        <v>1</v>
      </c>
    </row>
    <row r="154" spans="2:9" ht="22.5" customHeight="1" x14ac:dyDescent="0.55000000000000004">
      <c r="B154" s="32"/>
      <c r="C154" s="90"/>
      <c r="D154" s="63"/>
      <c r="E154" s="60" t="s">
        <v>344</v>
      </c>
      <c r="F154" s="68"/>
      <c r="G154" s="71"/>
      <c r="H154" s="154"/>
      <c r="I154" s="70"/>
    </row>
    <row r="155" spans="2:9" ht="22.5" customHeight="1" x14ac:dyDescent="0.55000000000000004">
      <c r="B155" s="27">
        <v>75</v>
      </c>
      <c r="C155" s="44" t="s">
        <v>73</v>
      </c>
      <c r="D155" s="52" t="s">
        <v>345</v>
      </c>
      <c r="E155" s="18" t="s">
        <v>346</v>
      </c>
      <c r="F155" s="30">
        <f>88000*1.07</f>
        <v>94160</v>
      </c>
      <c r="G155" s="31">
        <v>44504</v>
      </c>
      <c r="H155" s="155" t="s">
        <v>347</v>
      </c>
      <c r="I155" s="27">
        <v>1</v>
      </c>
    </row>
    <row r="156" spans="2:9" ht="22.5" customHeight="1" x14ac:dyDescent="0.55000000000000004">
      <c r="B156" s="32"/>
      <c r="C156" s="43"/>
      <c r="D156" s="34"/>
      <c r="E156" s="57"/>
      <c r="F156" s="35"/>
      <c r="G156" s="36"/>
      <c r="H156" s="153"/>
      <c r="I156" s="32"/>
    </row>
    <row r="157" spans="2:9" ht="22.5" customHeight="1" x14ac:dyDescent="0.55000000000000004">
      <c r="B157" s="27">
        <v>76</v>
      </c>
      <c r="C157" s="58" t="s">
        <v>68</v>
      </c>
      <c r="D157" s="52" t="s">
        <v>348</v>
      </c>
      <c r="E157" s="18" t="s">
        <v>349</v>
      </c>
      <c r="F157" s="30">
        <f>59240*1.07</f>
        <v>63386.8</v>
      </c>
      <c r="G157" s="31">
        <v>44504</v>
      </c>
      <c r="H157" s="155" t="s">
        <v>350</v>
      </c>
      <c r="I157" s="27">
        <v>1</v>
      </c>
    </row>
    <row r="158" spans="2:9" ht="22.5" customHeight="1" x14ac:dyDescent="0.55000000000000004">
      <c r="B158" s="32"/>
      <c r="C158" s="43"/>
      <c r="D158" s="34"/>
      <c r="E158" s="57"/>
      <c r="F158" s="35"/>
      <c r="G158" s="36"/>
      <c r="H158" s="153"/>
      <c r="I158" s="32"/>
    </row>
    <row r="159" spans="2:9" ht="22.5" customHeight="1" x14ac:dyDescent="0.55000000000000004">
      <c r="B159" s="27">
        <v>77</v>
      </c>
      <c r="C159" s="58" t="s">
        <v>73</v>
      </c>
      <c r="D159" s="52" t="s">
        <v>20</v>
      </c>
      <c r="E159" s="18" t="s">
        <v>351</v>
      </c>
      <c r="F159" s="30">
        <f>8550*1.07</f>
        <v>9148.5</v>
      </c>
      <c r="G159" s="31">
        <v>44504</v>
      </c>
      <c r="H159" s="155" t="s">
        <v>352</v>
      </c>
      <c r="I159" s="27">
        <v>1</v>
      </c>
    </row>
    <row r="160" spans="2:9" ht="22.5" customHeight="1" x14ac:dyDescent="0.55000000000000004">
      <c r="B160" s="32"/>
      <c r="C160" s="43"/>
      <c r="D160" s="34"/>
      <c r="E160" s="13" t="s">
        <v>353</v>
      </c>
      <c r="F160" s="35"/>
      <c r="G160" s="36"/>
      <c r="H160" s="153"/>
      <c r="I160" s="32"/>
    </row>
    <row r="161" spans="2:9" ht="22.5" customHeight="1" x14ac:dyDescent="0.55000000000000004">
      <c r="B161" s="27">
        <v>78</v>
      </c>
      <c r="C161" s="44" t="s">
        <v>68</v>
      </c>
      <c r="D161" s="52" t="s">
        <v>354</v>
      </c>
      <c r="E161" s="18" t="s">
        <v>355</v>
      </c>
      <c r="F161" s="30">
        <f>66850*1.07</f>
        <v>71529.5</v>
      </c>
      <c r="G161" s="31">
        <v>44508</v>
      </c>
      <c r="H161" s="155" t="s">
        <v>356</v>
      </c>
      <c r="I161" s="27">
        <v>1</v>
      </c>
    </row>
    <row r="162" spans="2:9" ht="22.5" customHeight="1" x14ac:dyDescent="0.55000000000000004">
      <c r="B162" s="32"/>
      <c r="C162" s="43"/>
      <c r="D162" s="34"/>
      <c r="E162" s="13" t="s">
        <v>357</v>
      </c>
      <c r="F162" s="35"/>
      <c r="G162" s="36"/>
      <c r="H162" s="153"/>
      <c r="I162" s="32"/>
    </row>
    <row r="163" spans="2:9" ht="22.5" customHeight="1" x14ac:dyDescent="0.55000000000000004">
      <c r="B163" s="27">
        <v>79</v>
      </c>
      <c r="C163" s="44" t="s">
        <v>43</v>
      </c>
      <c r="D163" s="52" t="s">
        <v>358</v>
      </c>
      <c r="E163" s="18" t="s">
        <v>359</v>
      </c>
      <c r="F163" s="30">
        <f>55000*1.07</f>
        <v>58850</v>
      </c>
      <c r="G163" s="31">
        <v>44508</v>
      </c>
      <c r="H163" s="155" t="s">
        <v>360</v>
      </c>
      <c r="I163" s="27">
        <v>1</v>
      </c>
    </row>
    <row r="164" spans="2:9" ht="22.5" customHeight="1" x14ac:dyDescent="0.55000000000000004">
      <c r="B164" s="32"/>
      <c r="C164" s="43"/>
      <c r="D164" s="34"/>
      <c r="E164" s="13"/>
      <c r="F164" s="35"/>
      <c r="G164" s="36"/>
      <c r="H164" s="153"/>
      <c r="I164" s="32"/>
    </row>
    <row r="165" spans="2:9" ht="22.5" customHeight="1" x14ac:dyDescent="0.55000000000000004">
      <c r="B165" s="27">
        <v>80</v>
      </c>
      <c r="C165" s="44" t="s">
        <v>66</v>
      </c>
      <c r="D165" s="52" t="s">
        <v>96</v>
      </c>
      <c r="E165" s="18" t="s">
        <v>361</v>
      </c>
      <c r="F165" s="30">
        <f>53540*1.07</f>
        <v>57287.8</v>
      </c>
      <c r="G165" s="31">
        <v>44508</v>
      </c>
      <c r="H165" s="155" t="s">
        <v>362</v>
      </c>
      <c r="I165" s="27">
        <v>1</v>
      </c>
    </row>
    <row r="166" spans="2:9" ht="22.5" customHeight="1" x14ac:dyDescent="0.55000000000000004">
      <c r="B166" s="32"/>
      <c r="C166" s="43"/>
      <c r="D166" s="34"/>
      <c r="E166" s="57" t="s">
        <v>363</v>
      </c>
      <c r="F166" s="35"/>
      <c r="G166" s="36"/>
      <c r="H166" s="153"/>
      <c r="I166" s="32"/>
    </row>
    <row r="167" spans="2:9" ht="22.5" customHeight="1" x14ac:dyDescent="0.55000000000000004">
      <c r="B167" s="27">
        <v>81</v>
      </c>
      <c r="C167" s="44" t="s">
        <v>65</v>
      </c>
      <c r="D167" s="52" t="s">
        <v>15</v>
      </c>
      <c r="E167" s="18" t="s">
        <v>364</v>
      </c>
      <c r="F167" s="30">
        <f>29560*1.07</f>
        <v>31629.200000000001</v>
      </c>
      <c r="G167" s="31">
        <v>44508</v>
      </c>
      <c r="H167" s="155" t="s">
        <v>365</v>
      </c>
      <c r="I167" s="27">
        <v>1</v>
      </c>
    </row>
    <row r="168" spans="2:9" ht="22.5" customHeight="1" x14ac:dyDescent="0.55000000000000004">
      <c r="B168" s="32"/>
      <c r="C168" s="43"/>
      <c r="D168" s="34"/>
      <c r="E168" s="57" t="s">
        <v>324</v>
      </c>
      <c r="F168" s="35"/>
      <c r="G168" s="36"/>
      <c r="H168" s="153"/>
      <c r="I168" s="32"/>
    </row>
    <row r="169" spans="2:9" ht="22.5" customHeight="1" x14ac:dyDescent="0.55000000000000004">
      <c r="B169" s="27">
        <v>82</v>
      </c>
      <c r="C169" s="44" t="s">
        <v>91</v>
      </c>
      <c r="D169" s="52" t="s">
        <v>366</v>
      </c>
      <c r="E169" s="18" t="s">
        <v>367</v>
      </c>
      <c r="F169" s="30">
        <f>26600*1.07</f>
        <v>28462</v>
      </c>
      <c r="G169" s="31">
        <v>44508</v>
      </c>
      <c r="H169" s="155" t="s">
        <v>368</v>
      </c>
      <c r="I169" s="27">
        <v>1</v>
      </c>
    </row>
    <row r="170" spans="2:9" ht="22.5" customHeight="1" x14ac:dyDescent="0.55000000000000004">
      <c r="B170" s="32"/>
      <c r="C170" s="43"/>
      <c r="D170" s="34"/>
      <c r="E170" s="57" t="s">
        <v>332</v>
      </c>
      <c r="F170" s="35"/>
      <c r="G170" s="36"/>
      <c r="H170" s="153"/>
      <c r="I170" s="32"/>
    </row>
    <row r="171" spans="2:9" ht="22.5" customHeight="1" x14ac:dyDescent="0.55000000000000004">
      <c r="B171" s="27">
        <v>83</v>
      </c>
      <c r="C171" s="44" t="s">
        <v>91</v>
      </c>
      <c r="D171" s="52" t="s">
        <v>85</v>
      </c>
      <c r="E171" s="18" t="s">
        <v>369</v>
      </c>
      <c r="F171" s="30">
        <f>27000*1.07</f>
        <v>28890</v>
      </c>
      <c r="G171" s="31">
        <v>44508</v>
      </c>
      <c r="H171" s="155" t="s">
        <v>370</v>
      </c>
      <c r="I171" s="27">
        <v>1</v>
      </c>
    </row>
    <row r="172" spans="2:9" ht="24" customHeight="1" x14ac:dyDescent="0.55000000000000004">
      <c r="B172" s="32"/>
      <c r="C172" s="43"/>
      <c r="D172" s="34"/>
      <c r="E172" s="13" t="s">
        <v>371</v>
      </c>
      <c r="F172" s="35"/>
      <c r="G172" s="36"/>
      <c r="H172" s="153"/>
      <c r="I172" s="32"/>
    </row>
    <row r="173" spans="2:9" ht="22.5" customHeight="1" x14ac:dyDescent="0.55000000000000004">
      <c r="B173" s="27">
        <v>84</v>
      </c>
      <c r="C173" s="44" t="s">
        <v>312</v>
      </c>
      <c r="D173" s="52" t="s">
        <v>97</v>
      </c>
      <c r="E173" s="18" t="s">
        <v>372</v>
      </c>
      <c r="F173" s="30">
        <f>90145*1.07</f>
        <v>96455.150000000009</v>
      </c>
      <c r="G173" s="31">
        <v>44508</v>
      </c>
      <c r="H173" s="155" t="s">
        <v>373</v>
      </c>
      <c r="I173" s="27">
        <v>1</v>
      </c>
    </row>
    <row r="174" spans="2:9" ht="18.75" customHeight="1" x14ac:dyDescent="0.55000000000000004">
      <c r="B174" s="32"/>
      <c r="C174" s="43"/>
      <c r="D174" s="34"/>
      <c r="E174" s="13"/>
      <c r="F174" s="35"/>
      <c r="G174" s="36"/>
      <c r="H174" s="153"/>
      <c r="I174" s="32"/>
    </row>
    <row r="175" spans="2:9" ht="22.5" customHeight="1" x14ac:dyDescent="0.55000000000000004">
      <c r="B175" s="27">
        <v>85</v>
      </c>
      <c r="C175" s="61" t="s">
        <v>188</v>
      </c>
      <c r="D175" s="52" t="s">
        <v>374</v>
      </c>
      <c r="E175" s="12" t="s">
        <v>375</v>
      </c>
      <c r="F175" s="30">
        <f>43150*1.07</f>
        <v>46170.5</v>
      </c>
      <c r="G175" s="31">
        <v>44508</v>
      </c>
      <c r="H175" s="155" t="s">
        <v>376</v>
      </c>
      <c r="I175" s="27">
        <v>1</v>
      </c>
    </row>
    <row r="176" spans="2:9" ht="22.5" customHeight="1" x14ac:dyDescent="0.55000000000000004">
      <c r="B176" s="32"/>
      <c r="C176" s="43"/>
      <c r="D176" s="34"/>
      <c r="E176" s="57" t="s">
        <v>324</v>
      </c>
      <c r="F176" s="35"/>
      <c r="G176" s="36"/>
      <c r="H176" s="153"/>
      <c r="I176" s="32"/>
    </row>
    <row r="177" spans="2:9" ht="22.5" customHeight="1" x14ac:dyDescent="0.55000000000000004">
      <c r="B177" s="27">
        <v>86</v>
      </c>
      <c r="C177" s="44" t="s">
        <v>41</v>
      </c>
      <c r="D177" s="52" t="s">
        <v>54</v>
      </c>
      <c r="E177" s="62" t="s">
        <v>377</v>
      </c>
      <c r="F177" s="30">
        <f>42500*1.07</f>
        <v>45475</v>
      </c>
      <c r="G177" s="31">
        <v>44508</v>
      </c>
      <c r="H177" s="157" t="s">
        <v>378</v>
      </c>
      <c r="I177" s="27">
        <v>1</v>
      </c>
    </row>
    <row r="178" spans="2:9" ht="19.5" customHeight="1" x14ac:dyDescent="0.55000000000000004">
      <c r="B178" s="32"/>
      <c r="C178" s="43"/>
      <c r="D178" s="34"/>
      <c r="E178" s="57"/>
      <c r="F178" s="35"/>
      <c r="G178" s="36"/>
      <c r="H178" s="158"/>
      <c r="I178" s="32"/>
    </row>
    <row r="179" spans="2:9" ht="22.5" customHeight="1" x14ac:dyDescent="0.55000000000000004">
      <c r="B179" s="27">
        <v>87</v>
      </c>
      <c r="C179" s="44" t="s">
        <v>41</v>
      </c>
      <c r="D179" s="63" t="s">
        <v>54</v>
      </c>
      <c r="E179" s="12" t="s">
        <v>379</v>
      </c>
      <c r="F179" s="30">
        <f>9070*1.07</f>
        <v>9704.9000000000015</v>
      </c>
      <c r="G179" s="31">
        <v>44508</v>
      </c>
      <c r="H179" s="155" t="s">
        <v>380</v>
      </c>
      <c r="I179" s="27">
        <v>1</v>
      </c>
    </row>
    <row r="180" spans="2:9" ht="22.5" customHeight="1" x14ac:dyDescent="0.55000000000000004">
      <c r="B180" s="32"/>
      <c r="C180" s="43"/>
      <c r="D180" s="63"/>
      <c r="E180" s="57" t="s">
        <v>332</v>
      </c>
      <c r="F180" s="35"/>
      <c r="G180" s="36"/>
      <c r="H180" s="153"/>
      <c r="I180" s="32"/>
    </row>
    <row r="181" spans="2:9" ht="22.5" customHeight="1" x14ac:dyDescent="0.55000000000000004">
      <c r="B181" s="27">
        <v>88</v>
      </c>
      <c r="C181" s="44" t="s">
        <v>41</v>
      </c>
      <c r="D181" s="52" t="s">
        <v>54</v>
      </c>
      <c r="E181" s="12" t="s">
        <v>381</v>
      </c>
      <c r="F181" s="30">
        <f>3160*1.07</f>
        <v>3381.2000000000003</v>
      </c>
      <c r="G181" s="31">
        <v>44508</v>
      </c>
      <c r="H181" s="155" t="s">
        <v>382</v>
      </c>
      <c r="I181" s="27">
        <v>1</v>
      </c>
    </row>
    <row r="182" spans="2:9" ht="22.5" customHeight="1" x14ac:dyDescent="0.55000000000000004">
      <c r="B182" s="32"/>
      <c r="C182" s="43"/>
      <c r="D182" s="34"/>
      <c r="E182" s="57" t="s">
        <v>357</v>
      </c>
      <c r="F182" s="35"/>
      <c r="G182" s="36"/>
      <c r="H182" s="153"/>
      <c r="I182" s="32"/>
    </row>
    <row r="183" spans="2:9" ht="22.5" customHeight="1" x14ac:dyDescent="0.55000000000000004">
      <c r="B183" s="27">
        <v>89</v>
      </c>
      <c r="C183" s="44" t="s">
        <v>68</v>
      </c>
      <c r="D183" s="52" t="s">
        <v>348</v>
      </c>
      <c r="E183" s="64" t="s">
        <v>383</v>
      </c>
      <c r="F183" s="30">
        <f>73860*1.07</f>
        <v>79030.200000000012</v>
      </c>
      <c r="G183" s="31">
        <v>44508</v>
      </c>
      <c r="H183" s="159" t="s">
        <v>976</v>
      </c>
      <c r="I183" s="27">
        <v>1</v>
      </c>
    </row>
    <row r="184" spans="2:9" ht="21.75" customHeight="1" x14ac:dyDescent="0.55000000000000004">
      <c r="B184" s="32"/>
      <c r="C184" s="43"/>
      <c r="D184" s="34"/>
      <c r="E184" s="65"/>
      <c r="F184" s="35"/>
      <c r="G184" s="36"/>
      <c r="H184" s="160"/>
      <c r="I184" s="32"/>
    </row>
    <row r="185" spans="2:9" ht="22.5" customHeight="1" x14ac:dyDescent="0.55000000000000004">
      <c r="B185" s="27">
        <v>90</v>
      </c>
      <c r="C185" s="44" t="s">
        <v>384</v>
      </c>
      <c r="D185" s="52" t="s">
        <v>385</v>
      </c>
      <c r="E185" s="18" t="s">
        <v>386</v>
      </c>
      <c r="F185" s="30">
        <f>37600*1.07</f>
        <v>40232</v>
      </c>
      <c r="G185" s="31">
        <v>44508</v>
      </c>
      <c r="H185" s="155" t="s">
        <v>387</v>
      </c>
      <c r="I185" s="27">
        <v>1</v>
      </c>
    </row>
    <row r="186" spans="2:9" ht="22.5" customHeight="1" x14ac:dyDescent="0.55000000000000004">
      <c r="B186" s="32"/>
      <c r="C186" s="43"/>
      <c r="D186" s="34"/>
      <c r="E186" s="13"/>
      <c r="F186" s="35"/>
      <c r="G186" s="36"/>
      <c r="H186" s="153"/>
      <c r="I186" s="32"/>
    </row>
    <row r="187" spans="2:9" ht="22.5" customHeight="1" x14ac:dyDescent="0.55000000000000004">
      <c r="B187" s="27">
        <v>91</v>
      </c>
      <c r="C187" s="58" t="s">
        <v>42</v>
      </c>
      <c r="D187" s="52" t="s">
        <v>388</v>
      </c>
      <c r="E187" s="18" t="s">
        <v>389</v>
      </c>
      <c r="F187" s="30">
        <f>1450*1.07</f>
        <v>1551.5</v>
      </c>
      <c r="G187" s="31">
        <v>44508</v>
      </c>
      <c r="H187" s="155" t="s">
        <v>390</v>
      </c>
      <c r="I187" s="27">
        <v>1</v>
      </c>
    </row>
    <row r="188" spans="2:9" ht="22.5" customHeight="1" x14ac:dyDescent="0.55000000000000004">
      <c r="B188" s="32"/>
      <c r="C188" s="43"/>
      <c r="D188" s="34"/>
      <c r="E188" s="13"/>
      <c r="F188" s="35"/>
      <c r="G188" s="36"/>
      <c r="H188" s="153"/>
      <c r="I188" s="32"/>
    </row>
    <row r="189" spans="2:9" ht="22.5" customHeight="1" x14ac:dyDescent="0.55000000000000004">
      <c r="B189" s="27">
        <v>92</v>
      </c>
      <c r="C189" s="44" t="s">
        <v>91</v>
      </c>
      <c r="D189" s="52" t="s">
        <v>391</v>
      </c>
      <c r="E189" s="18" t="s">
        <v>392</v>
      </c>
      <c r="F189" s="30">
        <f>29500*1.07</f>
        <v>31565.000000000004</v>
      </c>
      <c r="G189" s="31">
        <v>44508</v>
      </c>
      <c r="H189" s="155" t="s">
        <v>393</v>
      </c>
      <c r="I189" s="27">
        <v>1</v>
      </c>
    </row>
    <row r="190" spans="2:9" ht="22.5" customHeight="1" x14ac:dyDescent="0.55000000000000004">
      <c r="B190" s="32"/>
      <c r="C190" s="43"/>
      <c r="D190" s="34"/>
      <c r="E190" s="13" t="s">
        <v>394</v>
      </c>
      <c r="F190" s="35"/>
      <c r="G190" s="36"/>
      <c r="H190" s="180"/>
      <c r="I190" s="32"/>
    </row>
    <row r="191" spans="2:9" ht="22.5" customHeight="1" x14ac:dyDescent="0.55000000000000004">
      <c r="B191" s="27">
        <v>93</v>
      </c>
      <c r="C191" s="44" t="s">
        <v>121</v>
      </c>
      <c r="D191" s="52" t="s">
        <v>290</v>
      </c>
      <c r="E191" s="62" t="s">
        <v>395</v>
      </c>
      <c r="F191" s="30">
        <f>4910*1.07</f>
        <v>5253.7000000000007</v>
      </c>
      <c r="G191" s="31">
        <v>44509</v>
      </c>
      <c r="H191" s="155" t="s">
        <v>396</v>
      </c>
      <c r="I191" s="27">
        <v>1</v>
      </c>
    </row>
    <row r="192" spans="2:9" ht="22.5" customHeight="1" x14ac:dyDescent="0.55000000000000004">
      <c r="B192" s="32"/>
      <c r="C192" s="43"/>
      <c r="D192" s="34" t="s">
        <v>108</v>
      </c>
      <c r="E192" s="57" t="s">
        <v>397</v>
      </c>
      <c r="F192" s="35"/>
      <c r="G192" s="36"/>
      <c r="H192" s="153"/>
      <c r="I192" s="32"/>
    </row>
    <row r="193" spans="2:9" ht="22.5" customHeight="1" x14ac:dyDescent="0.55000000000000004">
      <c r="B193" s="27">
        <v>94</v>
      </c>
      <c r="C193" s="44" t="s">
        <v>398</v>
      </c>
      <c r="D193" s="52" t="s">
        <v>399</v>
      </c>
      <c r="E193" s="62" t="s">
        <v>400</v>
      </c>
      <c r="F193" s="30">
        <f>85000*1.07</f>
        <v>90950</v>
      </c>
      <c r="G193" s="31">
        <v>44509</v>
      </c>
      <c r="H193" s="155" t="s">
        <v>401</v>
      </c>
      <c r="I193" s="27">
        <v>1</v>
      </c>
    </row>
    <row r="194" spans="2:9" ht="22.5" customHeight="1" x14ac:dyDescent="0.55000000000000004">
      <c r="B194" s="32"/>
      <c r="C194" s="43"/>
      <c r="D194" s="34"/>
      <c r="E194" s="57" t="s">
        <v>324</v>
      </c>
      <c r="F194" s="35"/>
      <c r="G194" s="36"/>
      <c r="H194" s="153"/>
      <c r="I194" s="66"/>
    </row>
    <row r="195" spans="2:9" ht="22.5" customHeight="1" x14ac:dyDescent="0.55000000000000004">
      <c r="B195" s="27">
        <v>95</v>
      </c>
      <c r="C195" s="15" t="s">
        <v>45</v>
      </c>
      <c r="D195" s="52" t="s">
        <v>402</v>
      </c>
      <c r="E195" s="18" t="s">
        <v>403</v>
      </c>
      <c r="F195" s="30">
        <f>67500*1.07</f>
        <v>72225</v>
      </c>
      <c r="G195" s="31">
        <v>44509</v>
      </c>
      <c r="H195" s="156" t="s">
        <v>404</v>
      </c>
      <c r="I195" s="27">
        <v>1</v>
      </c>
    </row>
    <row r="196" spans="2:9" ht="22.5" customHeight="1" x14ac:dyDescent="0.55000000000000004">
      <c r="B196" s="32"/>
      <c r="C196" s="33"/>
      <c r="D196" s="34"/>
      <c r="E196" s="57" t="s">
        <v>332</v>
      </c>
      <c r="F196" s="35"/>
      <c r="G196" s="36"/>
      <c r="H196" s="161"/>
      <c r="I196" s="66"/>
    </row>
    <row r="197" spans="2:9" ht="22.5" customHeight="1" x14ac:dyDescent="0.55000000000000004">
      <c r="B197" s="27">
        <v>96</v>
      </c>
      <c r="C197" s="44" t="s">
        <v>405</v>
      </c>
      <c r="D197" s="52" t="s">
        <v>406</v>
      </c>
      <c r="E197" s="18" t="s">
        <v>407</v>
      </c>
      <c r="F197" s="30">
        <f>73200*1.07</f>
        <v>78324</v>
      </c>
      <c r="G197" s="31">
        <v>44509</v>
      </c>
      <c r="H197" s="155" t="s">
        <v>408</v>
      </c>
      <c r="I197" s="27">
        <v>1</v>
      </c>
    </row>
    <row r="198" spans="2:9" ht="25.5" customHeight="1" x14ac:dyDescent="0.55000000000000004">
      <c r="B198" s="32"/>
      <c r="C198" s="43"/>
      <c r="D198" s="34"/>
      <c r="E198" s="57" t="s">
        <v>324</v>
      </c>
      <c r="F198" s="35"/>
      <c r="G198" s="36"/>
      <c r="H198" s="162"/>
      <c r="I198" s="66"/>
    </row>
    <row r="199" spans="2:9" ht="22.5" customHeight="1" x14ac:dyDescent="0.55000000000000004">
      <c r="B199" s="27">
        <v>97</v>
      </c>
      <c r="C199" s="58" t="s">
        <v>409</v>
      </c>
      <c r="D199" s="52" t="s">
        <v>410</v>
      </c>
      <c r="E199" s="64" t="s">
        <v>411</v>
      </c>
      <c r="F199" s="30">
        <f>78000*1.07</f>
        <v>83460</v>
      </c>
      <c r="G199" s="31">
        <v>44509</v>
      </c>
      <c r="H199" s="155" t="s">
        <v>412</v>
      </c>
      <c r="I199" s="27">
        <v>1</v>
      </c>
    </row>
    <row r="200" spans="2:9" ht="23.25" customHeight="1" x14ac:dyDescent="0.55000000000000004">
      <c r="B200" s="32"/>
      <c r="C200" s="43"/>
      <c r="D200" s="34"/>
      <c r="E200" s="65"/>
      <c r="F200" s="35"/>
      <c r="G200" s="36"/>
      <c r="H200" s="162"/>
      <c r="I200" s="66"/>
    </row>
    <row r="201" spans="2:9" ht="22.5" customHeight="1" x14ac:dyDescent="0.55000000000000004">
      <c r="B201" s="27">
        <v>98</v>
      </c>
      <c r="C201" s="58" t="s">
        <v>66</v>
      </c>
      <c r="D201" s="52" t="s">
        <v>18</v>
      </c>
      <c r="E201" s="12" t="s">
        <v>413</v>
      </c>
      <c r="F201" s="30">
        <f>92604*1.07</f>
        <v>99086.28</v>
      </c>
      <c r="G201" s="31">
        <v>44510</v>
      </c>
      <c r="H201" s="155" t="s">
        <v>414</v>
      </c>
      <c r="I201" s="27">
        <v>1</v>
      </c>
    </row>
    <row r="202" spans="2:9" ht="22.5" customHeight="1" x14ac:dyDescent="0.55000000000000004">
      <c r="B202" s="32"/>
      <c r="C202" s="43"/>
      <c r="D202" s="34"/>
      <c r="E202" s="57" t="s">
        <v>324</v>
      </c>
      <c r="F202" s="35"/>
      <c r="G202" s="36"/>
      <c r="H202" s="153"/>
      <c r="I202" s="66"/>
    </row>
    <row r="203" spans="2:9" ht="22.5" customHeight="1" x14ac:dyDescent="0.55000000000000004">
      <c r="B203" s="27">
        <v>99</v>
      </c>
      <c r="C203" s="58" t="s">
        <v>415</v>
      </c>
      <c r="D203" s="52" t="s">
        <v>416</v>
      </c>
      <c r="E203" s="12" t="s">
        <v>417</v>
      </c>
      <c r="F203" s="30">
        <f>80625*1.07</f>
        <v>86268.75</v>
      </c>
      <c r="G203" s="31">
        <v>44510</v>
      </c>
      <c r="H203" s="155" t="s">
        <v>418</v>
      </c>
      <c r="I203" s="27">
        <v>1</v>
      </c>
    </row>
    <row r="204" spans="2:9" ht="22.5" customHeight="1" x14ac:dyDescent="0.55000000000000004">
      <c r="B204" s="32"/>
      <c r="C204" s="43"/>
      <c r="D204" s="34"/>
      <c r="E204" s="57" t="s">
        <v>419</v>
      </c>
      <c r="F204" s="35"/>
      <c r="G204" s="36"/>
      <c r="H204" s="163"/>
      <c r="I204" s="66"/>
    </row>
    <row r="205" spans="2:9" ht="22.5" customHeight="1" x14ac:dyDescent="0.55000000000000004">
      <c r="B205" s="27">
        <v>100</v>
      </c>
      <c r="C205" s="58" t="s">
        <v>420</v>
      </c>
      <c r="D205" s="52" t="s">
        <v>421</v>
      </c>
      <c r="E205" s="18" t="s">
        <v>422</v>
      </c>
      <c r="F205" s="30">
        <f>39864*1.07</f>
        <v>42654.48</v>
      </c>
      <c r="G205" s="31">
        <v>44510</v>
      </c>
      <c r="H205" s="155" t="s">
        <v>423</v>
      </c>
      <c r="I205" s="27">
        <v>1</v>
      </c>
    </row>
    <row r="206" spans="2:9" ht="22.5" customHeight="1" x14ac:dyDescent="0.55000000000000004">
      <c r="B206" s="32"/>
      <c r="C206" s="43"/>
      <c r="D206" s="34"/>
      <c r="E206" s="57" t="s">
        <v>324</v>
      </c>
      <c r="F206" s="35"/>
      <c r="G206" s="36"/>
      <c r="H206" s="153"/>
      <c r="I206" s="66"/>
    </row>
    <row r="207" spans="2:9" ht="22.5" customHeight="1" x14ac:dyDescent="0.55000000000000004">
      <c r="B207" s="27">
        <v>101</v>
      </c>
      <c r="C207" s="58" t="s">
        <v>424</v>
      </c>
      <c r="D207" s="52" t="s">
        <v>89</v>
      </c>
      <c r="E207" s="18" t="s">
        <v>425</v>
      </c>
      <c r="F207" s="30">
        <v>98440</v>
      </c>
      <c r="G207" s="31">
        <v>44510</v>
      </c>
      <c r="H207" s="155" t="s">
        <v>426</v>
      </c>
      <c r="I207" s="27">
        <v>1</v>
      </c>
    </row>
    <row r="208" spans="2:9" ht="21" customHeight="1" x14ac:dyDescent="0.55000000000000004">
      <c r="B208" s="32"/>
      <c r="C208" s="43"/>
      <c r="D208" s="34" t="s">
        <v>427</v>
      </c>
      <c r="E208" s="57" t="s">
        <v>324</v>
      </c>
      <c r="F208" s="35"/>
      <c r="G208" s="36"/>
      <c r="H208" s="153"/>
      <c r="I208" s="66"/>
    </row>
    <row r="209" spans="2:9" ht="22.5" customHeight="1" x14ac:dyDescent="0.55000000000000004">
      <c r="B209" s="27">
        <v>102</v>
      </c>
      <c r="C209" s="58" t="s">
        <v>428</v>
      </c>
      <c r="D209" s="52" t="s">
        <v>429</v>
      </c>
      <c r="E209" s="18" t="s">
        <v>430</v>
      </c>
      <c r="F209" s="30">
        <f>10710*1.07</f>
        <v>11459.7</v>
      </c>
      <c r="G209" s="31">
        <v>44510</v>
      </c>
      <c r="H209" s="155" t="s">
        <v>431</v>
      </c>
      <c r="I209" s="27">
        <v>1</v>
      </c>
    </row>
    <row r="210" spans="2:9" ht="22.5" customHeight="1" x14ac:dyDescent="0.55000000000000004">
      <c r="B210" s="32"/>
      <c r="C210" s="43"/>
      <c r="D210" s="34"/>
      <c r="E210" s="13" t="s">
        <v>432</v>
      </c>
      <c r="F210" s="35"/>
      <c r="G210" s="36"/>
      <c r="H210" s="153"/>
      <c r="I210" s="66"/>
    </row>
    <row r="211" spans="2:9" ht="22.5" customHeight="1" x14ac:dyDescent="0.55000000000000004">
      <c r="B211" s="27">
        <v>103</v>
      </c>
      <c r="C211" s="44" t="s">
        <v>121</v>
      </c>
      <c r="D211" s="52" t="s">
        <v>122</v>
      </c>
      <c r="E211" s="18" t="s">
        <v>433</v>
      </c>
      <c r="F211" s="30">
        <f>9980*1.07</f>
        <v>10678.6</v>
      </c>
      <c r="G211" s="31">
        <v>44510</v>
      </c>
      <c r="H211" s="155" t="s">
        <v>434</v>
      </c>
      <c r="I211" s="27">
        <v>1</v>
      </c>
    </row>
    <row r="212" spans="2:9" ht="20.25" customHeight="1" x14ac:dyDescent="0.55000000000000004">
      <c r="B212" s="32"/>
      <c r="C212" s="43"/>
      <c r="D212" s="34"/>
      <c r="E212" s="13"/>
      <c r="F212" s="35"/>
      <c r="G212" s="36"/>
      <c r="H212" s="153"/>
      <c r="I212" s="66"/>
    </row>
    <row r="213" spans="2:9" ht="22.5" customHeight="1" x14ac:dyDescent="0.55000000000000004">
      <c r="B213" s="27">
        <v>104</v>
      </c>
      <c r="C213" s="44" t="s">
        <v>121</v>
      </c>
      <c r="D213" s="52" t="s">
        <v>122</v>
      </c>
      <c r="E213" s="12" t="s">
        <v>435</v>
      </c>
      <c r="F213" s="30">
        <f>17760*1.07</f>
        <v>19003.2</v>
      </c>
      <c r="G213" s="31">
        <v>44510</v>
      </c>
      <c r="H213" s="155" t="s">
        <v>436</v>
      </c>
      <c r="I213" s="27">
        <v>1</v>
      </c>
    </row>
    <row r="214" spans="2:9" ht="22.5" customHeight="1" x14ac:dyDescent="0.55000000000000004">
      <c r="B214" s="32"/>
      <c r="C214" s="43"/>
      <c r="D214" s="34"/>
      <c r="E214" s="57" t="s">
        <v>363</v>
      </c>
      <c r="F214" s="35"/>
      <c r="G214" s="36"/>
      <c r="H214" s="153"/>
      <c r="I214" s="66"/>
    </row>
    <row r="215" spans="2:9" ht="22.5" customHeight="1" x14ac:dyDescent="0.55000000000000004">
      <c r="B215" s="27">
        <v>105</v>
      </c>
      <c r="C215" s="44" t="s">
        <v>44</v>
      </c>
      <c r="D215" s="52" t="s">
        <v>19</v>
      </c>
      <c r="E215" s="64" t="s">
        <v>437</v>
      </c>
      <c r="F215" s="30">
        <f>4800*1.07</f>
        <v>5136</v>
      </c>
      <c r="G215" s="31">
        <v>44510</v>
      </c>
      <c r="H215" s="157" t="s">
        <v>438</v>
      </c>
      <c r="I215" s="27">
        <v>1</v>
      </c>
    </row>
    <row r="216" spans="2:9" ht="21" customHeight="1" x14ac:dyDescent="0.55000000000000004">
      <c r="B216" s="32"/>
      <c r="C216" s="43"/>
      <c r="D216" s="34"/>
      <c r="E216" s="65"/>
      <c r="F216" s="35"/>
      <c r="G216" s="36"/>
      <c r="H216" s="158"/>
      <c r="I216" s="66"/>
    </row>
    <row r="217" spans="2:9" ht="22.5" customHeight="1" x14ac:dyDescent="0.55000000000000004">
      <c r="B217" s="27">
        <v>106</v>
      </c>
      <c r="C217" s="58" t="s">
        <v>73</v>
      </c>
      <c r="D217" s="52" t="s">
        <v>13</v>
      </c>
      <c r="E217" s="18" t="s">
        <v>439</v>
      </c>
      <c r="F217" s="30">
        <f>25380*1.07</f>
        <v>27156.600000000002</v>
      </c>
      <c r="G217" s="31">
        <v>44510</v>
      </c>
      <c r="H217" s="155" t="s">
        <v>440</v>
      </c>
      <c r="I217" s="27">
        <v>1</v>
      </c>
    </row>
    <row r="218" spans="2:9" ht="22.5" customHeight="1" x14ac:dyDescent="0.55000000000000004">
      <c r="B218" s="32"/>
      <c r="C218" s="43"/>
      <c r="D218" s="34"/>
      <c r="E218" s="13" t="s">
        <v>441</v>
      </c>
      <c r="F218" s="35"/>
      <c r="G218" s="36"/>
      <c r="H218" s="153"/>
      <c r="I218" s="66"/>
    </row>
    <row r="219" spans="2:9" ht="22.5" customHeight="1" x14ac:dyDescent="0.55000000000000004">
      <c r="B219" s="27">
        <v>107</v>
      </c>
      <c r="C219" s="44" t="s">
        <v>44</v>
      </c>
      <c r="D219" s="52" t="s">
        <v>19</v>
      </c>
      <c r="E219" s="62" t="s">
        <v>442</v>
      </c>
      <c r="F219" s="30">
        <f>3800*1.07</f>
        <v>4066.0000000000005</v>
      </c>
      <c r="G219" s="31">
        <v>44510</v>
      </c>
      <c r="H219" s="155" t="s">
        <v>1029</v>
      </c>
      <c r="I219" s="27">
        <v>1</v>
      </c>
    </row>
    <row r="220" spans="2:9" ht="22.5" customHeight="1" x14ac:dyDescent="0.55000000000000004">
      <c r="B220" s="32"/>
      <c r="C220" s="43"/>
      <c r="D220" s="34"/>
      <c r="E220" s="57" t="s">
        <v>332</v>
      </c>
      <c r="F220" s="35"/>
      <c r="G220" s="36"/>
      <c r="H220" s="180"/>
      <c r="I220" s="66"/>
    </row>
    <row r="221" spans="2:9" ht="22.5" customHeight="1" x14ac:dyDescent="0.55000000000000004">
      <c r="B221" s="27">
        <v>108</v>
      </c>
      <c r="C221" s="44" t="s">
        <v>443</v>
      </c>
      <c r="D221" s="52" t="s">
        <v>444</v>
      </c>
      <c r="E221" s="62" t="s">
        <v>445</v>
      </c>
      <c r="F221" s="30">
        <f>4236*1.07</f>
        <v>4532.5200000000004</v>
      </c>
      <c r="G221" s="31">
        <v>44510</v>
      </c>
      <c r="H221" s="155" t="s">
        <v>1028</v>
      </c>
      <c r="I221" s="27">
        <v>1</v>
      </c>
    </row>
    <row r="222" spans="2:9" ht="22.5" customHeight="1" x14ac:dyDescent="0.55000000000000004">
      <c r="B222" s="32"/>
      <c r="C222" s="43"/>
      <c r="D222" s="34"/>
      <c r="E222" s="57" t="s">
        <v>324</v>
      </c>
      <c r="F222" s="35"/>
      <c r="G222" s="36"/>
      <c r="H222" s="162"/>
      <c r="I222" s="66"/>
    </row>
    <row r="223" spans="2:9" ht="22.5" customHeight="1" x14ac:dyDescent="0.55000000000000004">
      <c r="B223" s="27">
        <v>109</v>
      </c>
      <c r="C223" s="44" t="s">
        <v>44</v>
      </c>
      <c r="D223" s="52" t="s">
        <v>19</v>
      </c>
      <c r="E223" s="12" t="s">
        <v>446</v>
      </c>
      <c r="F223" s="30">
        <f>27120*1.07</f>
        <v>29018.400000000001</v>
      </c>
      <c r="G223" s="31">
        <v>44510</v>
      </c>
      <c r="H223" s="155" t="s">
        <v>1030</v>
      </c>
      <c r="I223" s="27">
        <v>1</v>
      </c>
    </row>
    <row r="224" spans="2:9" ht="22.5" customHeight="1" x14ac:dyDescent="0.55000000000000004">
      <c r="B224" s="32"/>
      <c r="C224" s="43"/>
      <c r="D224" s="34"/>
      <c r="E224" s="57" t="s">
        <v>324</v>
      </c>
      <c r="F224" s="35"/>
      <c r="G224" s="36"/>
      <c r="H224" s="153"/>
      <c r="I224" s="66"/>
    </row>
    <row r="225" spans="2:9" ht="22.5" customHeight="1" x14ac:dyDescent="0.55000000000000004">
      <c r="B225" s="27">
        <v>110</v>
      </c>
      <c r="C225" s="58" t="s">
        <v>41</v>
      </c>
      <c r="D225" s="52" t="s">
        <v>27</v>
      </c>
      <c r="E225" s="18" t="s">
        <v>447</v>
      </c>
      <c r="F225" s="30">
        <f>4200*1.07</f>
        <v>4494</v>
      </c>
      <c r="G225" s="31">
        <v>44510</v>
      </c>
      <c r="H225" s="155" t="s">
        <v>1031</v>
      </c>
      <c r="I225" s="27">
        <v>1</v>
      </c>
    </row>
    <row r="226" spans="2:9" ht="22.5" customHeight="1" x14ac:dyDescent="0.55000000000000004">
      <c r="B226" s="32"/>
      <c r="C226" s="43"/>
      <c r="D226" s="34"/>
      <c r="E226" s="13"/>
      <c r="F226" s="35"/>
      <c r="G226" s="36"/>
      <c r="H226" s="153"/>
      <c r="I226" s="66"/>
    </row>
    <row r="227" spans="2:9" ht="22.5" customHeight="1" x14ac:dyDescent="0.55000000000000004">
      <c r="B227" s="27">
        <v>111</v>
      </c>
      <c r="C227" s="58" t="s">
        <v>448</v>
      </c>
      <c r="D227" s="52" t="s">
        <v>449</v>
      </c>
      <c r="E227" s="12" t="s">
        <v>450</v>
      </c>
      <c r="F227" s="30">
        <f>72500*1.07</f>
        <v>77575</v>
      </c>
      <c r="G227" s="31">
        <v>44510</v>
      </c>
      <c r="H227" s="155" t="s">
        <v>1032</v>
      </c>
      <c r="I227" s="27">
        <v>1</v>
      </c>
    </row>
    <row r="228" spans="2:9" ht="22.5" customHeight="1" x14ac:dyDescent="0.55000000000000004">
      <c r="B228" s="32"/>
      <c r="C228" s="43"/>
      <c r="D228" s="34"/>
      <c r="E228" s="57" t="s">
        <v>332</v>
      </c>
      <c r="F228" s="35"/>
      <c r="G228" s="36"/>
      <c r="H228" s="153"/>
      <c r="I228" s="66"/>
    </row>
    <row r="229" spans="2:9" ht="22.5" customHeight="1" x14ac:dyDescent="0.55000000000000004">
      <c r="B229" s="27">
        <v>112</v>
      </c>
      <c r="C229" s="58" t="s">
        <v>451</v>
      </c>
      <c r="D229" s="52" t="s">
        <v>452</v>
      </c>
      <c r="E229" s="12" t="s">
        <v>453</v>
      </c>
      <c r="F229" s="30">
        <f>90900*1.07</f>
        <v>97263</v>
      </c>
      <c r="G229" s="31">
        <v>44511</v>
      </c>
      <c r="H229" s="155" t="s">
        <v>454</v>
      </c>
      <c r="I229" s="27">
        <v>1</v>
      </c>
    </row>
    <row r="230" spans="2:9" ht="22.5" customHeight="1" x14ac:dyDescent="0.55000000000000004">
      <c r="B230" s="32"/>
      <c r="C230" s="43"/>
      <c r="D230" s="34" t="s">
        <v>107</v>
      </c>
      <c r="E230" s="57" t="s">
        <v>455</v>
      </c>
      <c r="F230" s="35"/>
      <c r="G230" s="36"/>
      <c r="H230" s="153"/>
      <c r="I230" s="66"/>
    </row>
    <row r="231" spans="2:9" ht="22.5" customHeight="1" x14ac:dyDescent="0.55000000000000004">
      <c r="B231" s="27">
        <v>113</v>
      </c>
      <c r="C231" s="58" t="s">
        <v>456</v>
      </c>
      <c r="D231" s="52" t="s">
        <v>457</v>
      </c>
      <c r="E231" s="18" t="s">
        <v>458</v>
      </c>
      <c r="F231" s="30">
        <f>60000*1.07</f>
        <v>64200.000000000007</v>
      </c>
      <c r="G231" s="31">
        <v>44511</v>
      </c>
      <c r="H231" s="155" t="s">
        <v>459</v>
      </c>
      <c r="I231" s="27">
        <v>1</v>
      </c>
    </row>
    <row r="232" spans="2:9" ht="22.5" customHeight="1" x14ac:dyDescent="0.55000000000000004">
      <c r="B232" s="32"/>
      <c r="C232" s="43"/>
      <c r="D232" s="34"/>
      <c r="E232" s="13"/>
      <c r="F232" s="35"/>
      <c r="G232" s="36"/>
      <c r="H232" s="153"/>
      <c r="I232" s="66"/>
    </row>
    <row r="233" spans="2:9" ht="22.5" customHeight="1" x14ac:dyDescent="0.55000000000000004">
      <c r="B233" s="27">
        <v>114</v>
      </c>
      <c r="C233" s="44" t="s">
        <v>460</v>
      </c>
      <c r="D233" s="52" t="s">
        <v>461</v>
      </c>
      <c r="E233" s="62" t="s">
        <v>462</v>
      </c>
      <c r="F233" s="30">
        <f>70000*1.07</f>
        <v>74900</v>
      </c>
      <c r="G233" s="31">
        <v>44511</v>
      </c>
      <c r="H233" s="159" t="s">
        <v>463</v>
      </c>
      <c r="I233" s="27">
        <v>1</v>
      </c>
    </row>
    <row r="234" spans="2:9" ht="22.5" customHeight="1" x14ac:dyDescent="0.55000000000000004">
      <c r="B234" s="32"/>
      <c r="C234" s="43"/>
      <c r="D234" s="34"/>
      <c r="E234" s="57"/>
      <c r="F234" s="35"/>
      <c r="G234" s="36"/>
      <c r="H234" s="160"/>
      <c r="I234" s="66"/>
    </row>
    <row r="235" spans="2:9" ht="22.5" customHeight="1" x14ac:dyDescent="0.55000000000000004">
      <c r="B235" s="27">
        <v>115</v>
      </c>
      <c r="C235" s="58" t="s">
        <v>464</v>
      </c>
      <c r="D235" s="63" t="s">
        <v>52</v>
      </c>
      <c r="E235" s="60" t="s">
        <v>465</v>
      </c>
      <c r="F235" s="68">
        <f>60100*1.07</f>
        <v>64307.000000000007</v>
      </c>
      <c r="G235" s="49">
        <v>44511</v>
      </c>
      <c r="H235" s="164" t="s">
        <v>466</v>
      </c>
      <c r="I235" s="27">
        <v>1</v>
      </c>
    </row>
    <row r="236" spans="2:9" ht="22.5" customHeight="1" x14ac:dyDescent="0.55000000000000004">
      <c r="B236" s="32"/>
      <c r="C236" s="34"/>
      <c r="D236" s="57"/>
      <c r="E236" s="57" t="s">
        <v>332</v>
      </c>
      <c r="F236" s="36"/>
      <c r="G236" s="69"/>
      <c r="H236" s="165"/>
      <c r="I236" s="66"/>
    </row>
    <row r="237" spans="2:9" ht="22.5" customHeight="1" x14ac:dyDescent="0.55000000000000004">
      <c r="B237" s="27">
        <v>116</v>
      </c>
      <c r="C237" s="44" t="s">
        <v>91</v>
      </c>
      <c r="D237" s="52" t="s">
        <v>467</v>
      </c>
      <c r="E237" s="18" t="s">
        <v>468</v>
      </c>
      <c r="F237" s="30">
        <f>9600*1.07</f>
        <v>10272</v>
      </c>
      <c r="G237" s="31">
        <v>44511</v>
      </c>
      <c r="H237" s="155" t="s">
        <v>469</v>
      </c>
      <c r="I237" s="27">
        <v>1</v>
      </c>
    </row>
    <row r="238" spans="2:9" ht="22.5" customHeight="1" x14ac:dyDescent="0.55000000000000004">
      <c r="B238" s="32"/>
      <c r="C238" s="43"/>
      <c r="D238" s="34"/>
      <c r="E238" s="13" t="s">
        <v>470</v>
      </c>
      <c r="F238" s="35"/>
      <c r="G238" s="36"/>
      <c r="H238" s="153"/>
      <c r="I238" s="66"/>
    </row>
    <row r="239" spans="2:9" ht="22.5" customHeight="1" x14ac:dyDescent="0.55000000000000004">
      <c r="B239" s="27">
        <v>117</v>
      </c>
      <c r="C239" s="7" t="s">
        <v>73</v>
      </c>
      <c r="D239" s="52" t="s">
        <v>90</v>
      </c>
      <c r="E239" s="64" t="s">
        <v>471</v>
      </c>
      <c r="F239" s="30">
        <f>6500*1.07</f>
        <v>6955</v>
      </c>
      <c r="G239" s="31">
        <v>44511</v>
      </c>
      <c r="H239" s="159" t="s">
        <v>472</v>
      </c>
      <c r="I239" s="27">
        <v>1</v>
      </c>
    </row>
    <row r="240" spans="2:9" ht="22.5" customHeight="1" x14ac:dyDescent="0.55000000000000004">
      <c r="B240" s="32"/>
      <c r="C240" s="33"/>
      <c r="D240" s="34"/>
      <c r="E240" s="65" t="s">
        <v>473</v>
      </c>
      <c r="F240" s="35"/>
      <c r="G240" s="36"/>
      <c r="H240" s="160"/>
      <c r="I240" s="66"/>
    </row>
    <row r="241" spans="2:9" ht="22.5" customHeight="1" x14ac:dyDescent="0.55000000000000004">
      <c r="B241" s="27">
        <v>118</v>
      </c>
      <c r="C241" s="44" t="s">
        <v>92</v>
      </c>
      <c r="D241" s="52" t="s">
        <v>474</v>
      </c>
      <c r="E241" s="18" t="s">
        <v>475</v>
      </c>
      <c r="F241" s="30">
        <f>14000*1.07</f>
        <v>14980</v>
      </c>
      <c r="G241" s="31">
        <v>44511</v>
      </c>
      <c r="H241" s="156" t="s">
        <v>476</v>
      </c>
      <c r="I241" s="27">
        <v>1</v>
      </c>
    </row>
    <row r="242" spans="2:9" ht="22.5" customHeight="1" x14ac:dyDescent="0.55000000000000004">
      <c r="B242" s="32"/>
      <c r="C242" s="43"/>
      <c r="D242" s="34"/>
      <c r="E242" s="38" t="s">
        <v>967</v>
      </c>
      <c r="F242" s="68"/>
      <c r="G242" s="71"/>
      <c r="H242" s="156"/>
      <c r="I242" s="66"/>
    </row>
    <row r="243" spans="2:9" ht="22.5" customHeight="1" x14ac:dyDescent="0.55000000000000004">
      <c r="B243" s="27">
        <v>119</v>
      </c>
      <c r="C243" s="7" t="s">
        <v>73</v>
      </c>
      <c r="D243" s="52" t="s">
        <v>90</v>
      </c>
      <c r="E243" s="64" t="s">
        <v>477</v>
      </c>
      <c r="F243" s="30">
        <f>19800*1.07</f>
        <v>21186</v>
      </c>
      <c r="G243" s="31">
        <v>44511</v>
      </c>
      <c r="H243" s="157" t="s">
        <v>977</v>
      </c>
      <c r="I243" s="27">
        <v>1</v>
      </c>
    </row>
    <row r="244" spans="2:9" ht="22.5" customHeight="1" x14ac:dyDescent="0.55000000000000004">
      <c r="B244" s="32"/>
      <c r="C244" s="33"/>
      <c r="D244" s="34"/>
      <c r="E244" s="65"/>
      <c r="F244" s="35"/>
      <c r="G244" s="36"/>
      <c r="H244" s="158"/>
      <c r="I244" s="66"/>
    </row>
    <row r="245" spans="2:9" ht="22.5" customHeight="1" x14ac:dyDescent="0.55000000000000004">
      <c r="B245" s="27">
        <v>120</v>
      </c>
      <c r="C245" s="72" t="s">
        <v>384</v>
      </c>
      <c r="D245" s="52" t="s">
        <v>83</v>
      </c>
      <c r="E245" s="64" t="s">
        <v>478</v>
      </c>
      <c r="F245" s="30">
        <f>90000*1.07</f>
        <v>96300</v>
      </c>
      <c r="G245" s="31">
        <v>44512</v>
      </c>
      <c r="H245" s="157" t="s">
        <v>479</v>
      </c>
      <c r="I245" s="27">
        <v>1</v>
      </c>
    </row>
    <row r="246" spans="2:9" ht="22.5" customHeight="1" x14ac:dyDescent="0.55000000000000004">
      <c r="B246" s="32"/>
      <c r="C246" s="32"/>
      <c r="D246" s="34"/>
      <c r="E246" s="65"/>
      <c r="F246" s="35"/>
      <c r="G246" s="36"/>
      <c r="H246" s="158"/>
      <c r="I246" s="66"/>
    </row>
    <row r="247" spans="2:9" ht="22.5" customHeight="1" x14ac:dyDescent="0.55000000000000004">
      <c r="B247" s="27">
        <v>121</v>
      </c>
      <c r="C247" s="44" t="s">
        <v>41</v>
      </c>
      <c r="D247" s="52" t="s">
        <v>11</v>
      </c>
      <c r="E247" s="64" t="s">
        <v>480</v>
      </c>
      <c r="F247" s="30">
        <f>36900*1.07</f>
        <v>39483</v>
      </c>
      <c r="G247" s="31">
        <v>44512</v>
      </c>
      <c r="H247" s="157" t="s">
        <v>481</v>
      </c>
      <c r="I247" s="27">
        <v>1</v>
      </c>
    </row>
    <row r="248" spans="2:9" ht="22.5" customHeight="1" x14ac:dyDescent="0.55000000000000004">
      <c r="B248" s="32"/>
      <c r="C248" s="43"/>
      <c r="D248" s="34"/>
      <c r="E248" s="57" t="s">
        <v>324</v>
      </c>
      <c r="F248" s="35"/>
      <c r="G248" s="36"/>
      <c r="H248" s="158"/>
      <c r="I248" s="66"/>
    </row>
    <row r="249" spans="2:9" ht="22.5" customHeight="1" x14ac:dyDescent="0.55000000000000004">
      <c r="B249" s="27">
        <v>122</v>
      </c>
      <c r="C249" s="15" t="s">
        <v>45</v>
      </c>
      <c r="D249" s="52" t="s">
        <v>115</v>
      </c>
      <c r="E249" s="64" t="s">
        <v>482</v>
      </c>
      <c r="F249" s="30">
        <f>77160*1.07</f>
        <v>82561.200000000012</v>
      </c>
      <c r="G249" s="31">
        <v>44512</v>
      </c>
      <c r="H249" s="157" t="s">
        <v>483</v>
      </c>
      <c r="I249" s="27">
        <v>-1</v>
      </c>
    </row>
    <row r="250" spans="2:9" ht="22.5" customHeight="1" x14ac:dyDescent="0.55000000000000004">
      <c r="B250" s="32"/>
      <c r="C250" s="33"/>
      <c r="D250" s="34"/>
      <c r="E250" s="57" t="s">
        <v>332</v>
      </c>
      <c r="F250" s="35"/>
      <c r="G250" s="36"/>
      <c r="H250" s="158"/>
      <c r="I250" s="66"/>
    </row>
    <row r="251" spans="2:9" ht="22.5" customHeight="1" x14ac:dyDescent="0.55000000000000004">
      <c r="B251" s="27">
        <v>123</v>
      </c>
      <c r="C251" s="44" t="s">
        <v>484</v>
      </c>
      <c r="D251" s="52" t="s">
        <v>46</v>
      </c>
      <c r="E251" s="12" t="s">
        <v>485</v>
      </c>
      <c r="F251" s="30">
        <f>16500*1.07</f>
        <v>17655</v>
      </c>
      <c r="G251" s="31">
        <v>44512</v>
      </c>
      <c r="H251" s="157" t="s">
        <v>486</v>
      </c>
      <c r="I251" s="27">
        <v>1</v>
      </c>
    </row>
    <row r="252" spans="2:9" ht="22.5" customHeight="1" x14ac:dyDescent="0.55000000000000004">
      <c r="B252" s="32"/>
      <c r="C252" s="43"/>
      <c r="D252" s="34"/>
      <c r="E252" s="57" t="s">
        <v>332</v>
      </c>
      <c r="F252" s="35"/>
      <c r="G252" s="36"/>
      <c r="H252" s="158"/>
      <c r="I252" s="66"/>
    </row>
    <row r="253" spans="2:9" ht="22.5" customHeight="1" x14ac:dyDescent="0.55000000000000004">
      <c r="B253" s="27">
        <v>124</v>
      </c>
      <c r="C253" s="44" t="s">
        <v>67</v>
      </c>
      <c r="D253" s="52" t="s">
        <v>23</v>
      </c>
      <c r="E253" s="60" t="s">
        <v>487</v>
      </c>
      <c r="F253" s="30">
        <f>2280*1.07</f>
        <v>2439.6000000000004</v>
      </c>
      <c r="G253" s="31">
        <v>44512</v>
      </c>
      <c r="H253" s="166" t="s">
        <v>978</v>
      </c>
      <c r="I253" s="27">
        <v>3</v>
      </c>
    </row>
    <row r="254" spans="2:9" ht="22.5" customHeight="1" x14ac:dyDescent="0.55000000000000004">
      <c r="B254" s="32"/>
      <c r="C254" s="43"/>
      <c r="D254" s="34"/>
      <c r="E254" s="57" t="s">
        <v>332</v>
      </c>
      <c r="F254" s="35"/>
      <c r="G254" s="36"/>
      <c r="H254" s="166"/>
      <c r="I254" s="66"/>
    </row>
    <row r="255" spans="2:9" ht="22.5" customHeight="1" x14ac:dyDescent="0.55000000000000004">
      <c r="B255" s="27">
        <v>125</v>
      </c>
      <c r="C255" s="44" t="s">
        <v>67</v>
      </c>
      <c r="D255" s="52" t="s">
        <v>23</v>
      </c>
      <c r="E255" s="18" t="s">
        <v>488</v>
      </c>
      <c r="F255" s="30">
        <f>8000*1.07</f>
        <v>8560</v>
      </c>
      <c r="G255" s="31">
        <v>44512</v>
      </c>
      <c r="H255" s="155" t="s">
        <v>489</v>
      </c>
      <c r="I255" s="27">
        <v>1</v>
      </c>
    </row>
    <row r="256" spans="2:9" ht="22.5" customHeight="1" x14ac:dyDescent="0.55000000000000004">
      <c r="B256" s="32"/>
      <c r="C256" s="43"/>
      <c r="D256" s="34"/>
      <c r="E256" s="13"/>
      <c r="F256" s="35"/>
      <c r="G256" s="36"/>
      <c r="H256" s="153"/>
      <c r="I256" s="66"/>
    </row>
    <row r="257" spans="2:9" ht="22.5" customHeight="1" x14ac:dyDescent="0.55000000000000004">
      <c r="B257" s="27">
        <v>126</v>
      </c>
      <c r="C257" s="44" t="s">
        <v>490</v>
      </c>
      <c r="D257" s="52" t="s">
        <v>491</v>
      </c>
      <c r="E257" s="62" t="s">
        <v>492</v>
      </c>
      <c r="F257" s="30">
        <f>83600*1.07</f>
        <v>89452</v>
      </c>
      <c r="G257" s="31">
        <v>44515</v>
      </c>
      <c r="H257" s="155" t="s">
        <v>493</v>
      </c>
      <c r="I257" s="27">
        <v>1</v>
      </c>
    </row>
    <row r="258" spans="2:9" ht="22.5" customHeight="1" x14ac:dyDescent="0.55000000000000004">
      <c r="B258" s="32"/>
      <c r="C258" s="43"/>
      <c r="D258" s="34"/>
      <c r="E258" s="57" t="s">
        <v>494</v>
      </c>
      <c r="F258" s="35"/>
      <c r="G258" s="36"/>
      <c r="H258" s="153"/>
      <c r="I258" s="66"/>
    </row>
    <row r="259" spans="2:9" ht="22.5" customHeight="1" x14ac:dyDescent="0.55000000000000004">
      <c r="B259" s="27">
        <v>127</v>
      </c>
      <c r="C259" s="44" t="s">
        <v>495</v>
      </c>
      <c r="D259" s="52" t="s">
        <v>15</v>
      </c>
      <c r="E259" s="18" t="s">
        <v>496</v>
      </c>
      <c r="F259" s="30">
        <f>46400*1.07</f>
        <v>49648</v>
      </c>
      <c r="G259" s="31">
        <v>44515</v>
      </c>
      <c r="H259" s="155" t="s">
        <v>497</v>
      </c>
      <c r="I259" s="27">
        <v>1</v>
      </c>
    </row>
    <row r="260" spans="2:9" ht="22.5" customHeight="1" x14ac:dyDescent="0.55000000000000004">
      <c r="B260" s="32"/>
      <c r="C260" s="43"/>
      <c r="D260" s="34"/>
      <c r="E260" s="13"/>
      <c r="F260" s="35"/>
      <c r="G260" s="36"/>
      <c r="H260" s="153"/>
      <c r="I260" s="66"/>
    </row>
    <row r="261" spans="2:9" ht="22.5" customHeight="1" x14ac:dyDescent="0.55000000000000004">
      <c r="B261" s="27">
        <v>128</v>
      </c>
      <c r="C261" s="44" t="s">
        <v>93</v>
      </c>
      <c r="D261" s="52" t="s">
        <v>498</v>
      </c>
      <c r="E261" s="12" t="s">
        <v>499</v>
      </c>
      <c r="F261" s="30">
        <f>69000*1.07</f>
        <v>73830</v>
      </c>
      <c r="G261" s="31">
        <v>44515</v>
      </c>
      <c r="H261" s="155" t="s">
        <v>500</v>
      </c>
      <c r="I261" s="27">
        <v>1</v>
      </c>
    </row>
    <row r="262" spans="2:9" ht="22.5" customHeight="1" x14ac:dyDescent="0.55000000000000004">
      <c r="B262" s="32"/>
      <c r="C262" s="43"/>
      <c r="D262" s="34"/>
      <c r="E262" s="57" t="s">
        <v>419</v>
      </c>
      <c r="F262" s="35"/>
      <c r="G262" s="36"/>
      <c r="H262" s="153"/>
      <c r="I262" s="66"/>
    </row>
    <row r="263" spans="2:9" ht="22.5" customHeight="1" x14ac:dyDescent="0.55000000000000004">
      <c r="B263" s="27">
        <v>129</v>
      </c>
      <c r="C263" s="51" t="s">
        <v>42</v>
      </c>
      <c r="D263" s="52" t="s">
        <v>16</v>
      </c>
      <c r="E263" s="18" t="s">
        <v>501</v>
      </c>
      <c r="F263" s="30">
        <f>980*1.07</f>
        <v>1048.6000000000001</v>
      </c>
      <c r="G263" s="31">
        <v>44515</v>
      </c>
      <c r="H263" s="155" t="s">
        <v>502</v>
      </c>
      <c r="I263" s="27">
        <v>1</v>
      </c>
    </row>
    <row r="264" spans="2:9" ht="22.5" customHeight="1" x14ac:dyDescent="0.55000000000000004">
      <c r="B264" s="32"/>
      <c r="C264" s="53"/>
      <c r="D264" s="34"/>
      <c r="E264" s="13"/>
      <c r="F264" s="35"/>
      <c r="G264" s="36"/>
      <c r="H264" s="153"/>
      <c r="I264" s="66"/>
    </row>
    <row r="265" spans="2:9" ht="22.5" customHeight="1" x14ac:dyDescent="0.55000000000000004">
      <c r="B265" s="27">
        <v>130</v>
      </c>
      <c r="C265" s="44" t="s">
        <v>503</v>
      </c>
      <c r="D265" s="52" t="s">
        <v>120</v>
      </c>
      <c r="E265" s="64" t="s">
        <v>504</v>
      </c>
      <c r="F265" s="30">
        <f>47520*1.07</f>
        <v>50846.400000000001</v>
      </c>
      <c r="G265" s="31">
        <v>44515</v>
      </c>
      <c r="H265" s="159" t="s">
        <v>505</v>
      </c>
      <c r="I265" s="27">
        <v>1</v>
      </c>
    </row>
    <row r="266" spans="2:9" ht="22.5" customHeight="1" x14ac:dyDescent="0.55000000000000004">
      <c r="B266" s="32"/>
      <c r="C266" s="43"/>
      <c r="D266" s="34"/>
      <c r="E266" s="65"/>
      <c r="F266" s="35"/>
      <c r="G266" s="36"/>
      <c r="H266" s="181"/>
      <c r="I266" s="66"/>
    </row>
    <row r="267" spans="2:9" ht="22.5" customHeight="1" x14ac:dyDescent="0.55000000000000004">
      <c r="B267" s="27">
        <v>131</v>
      </c>
      <c r="C267" s="51" t="s">
        <v>42</v>
      </c>
      <c r="D267" s="52" t="s">
        <v>16</v>
      </c>
      <c r="E267" s="62" t="s">
        <v>1044</v>
      </c>
      <c r="F267" s="30">
        <f>5260*1.07</f>
        <v>5628.2000000000007</v>
      </c>
      <c r="G267" s="31">
        <v>44515</v>
      </c>
      <c r="H267" s="157" t="s">
        <v>506</v>
      </c>
      <c r="I267" s="27">
        <v>1</v>
      </c>
    </row>
    <row r="268" spans="2:9" ht="22.5" customHeight="1" x14ac:dyDescent="0.55000000000000004">
      <c r="B268" s="32"/>
      <c r="C268" s="53"/>
      <c r="D268" s="34"/>
      <c r="E268" s="57" t="s">
        <v>332</v>
      </c>
      <c r="F268" s="35"/>
      <c r="G268" s="36"/>
      <c r="H268" s="158"/>
      <c r="I268" s="66"/>
    </row>
    <row r="269" spans="2:9" ht="22.5" customHeight="1" x14ac:dyDescent="0.55000000000000004">
      <c r="B269" s="27">
        <v>132</v>
      </c>
      <c r="C269" s="21" t="s">
        <v>76</v>
      </c>
      <c r="D269" s="73" t="s">
        <v>507</v>
      </c>
      <c r="E269" s="18" t="s">
        <v>508</v>
      </c>
      <c r="F269" s="30">
        <f>80000*1.07</f>
        <v>85600</v>
      </c>
      <c r="G269" s="31">
        <v>44515</v>
      </c>
      <c r="H269" s="155" t="s">
        <v>1033</v>
      </c>
      <c r="I269" s="27">
        <v>1</v>
      </c>
    </row>
    <row r="270" spans="2:9" ht="22.5" customHeight="1" x14ac:dyDescent="0.55000000000000004">
      <c r="B270" s="32"/>
      <c r="C270" s="33"/>
      <c r="D270" s="74"/>
      <c r="E270" s="13" t="s">
        <v>509</v>
      </c>
      <c r="F270" s="35"/>
      <c r="G270" s="36"/>
      <c r="H270" s="153"/>
      <c r="I270" s="66"/>
    </row>
    <row r="271" spans="2:9" ht="22.5" customHeight="1" x14ac:dyDescent="0.55000000000000004">
      <c r="B271" s="27">
        <v>133</v>
      </c>
      <c r="C271" s="44" t="s">
        <v>121</v>
      </c>
      <c r="D271" s="75" t="s">
        <v>122</v>
      </c>
      <c r="E271" s="12" t="s">
        <v>510</v>
      </c>
      <c r="F271" s="30">
        <f>7650*1.07</f>
        <v>8185.5000000000009</v>
      </c>
      <c r="G271" s="31">
        <v>44515</v>
      </c>
      <c r="H271" s="155" t="s">
        <v>511</v>
      </c>
      <c r="I271" s="27">
        <v>1</v>
      </c>
    </row>
    <row r="272" spans="2:9" ht="22.5" customHeight="1" x14ac:dyDescent="0.55000000000000004">
      <c r="B272" s="32"/>
      <c r="C272" s="43"/>
      <c r="D272" s="34"/>
      <c r="E272" s="57" t="s">
        <v>357</v>
      </c>
      <c r="F272" s="35"/>
      <c r="G272" s="36"/>
      <c r="H272" s="153"/>
      <c r="I272" s="66"/>
    </row>
    <row r="273" spans="2:9" ht="22.5" customHeight="1" x14ac:dyDescent="0.55000000000000004">
      <c r="B273" s="27">
        <v>134</v>
      </c>
      <c r="C273" s="44" t="s">
        <v>67</v>
      </c>
      <c r="D273" s="29" t="s">
        <v>23</v>
      </c>
      <c r="E273" s="18" t="s">
        <v>512</v>
      </c>
      <c r="F273" s="30">
        <f>900*1.07</f>
        <v>963</v>
      </c>
      <c r="G273" s="31">
        <v>44516</v>
      </c>
      <c r="H273" s="155" t="s">
        <v>513</v>
      </c>
      <c r="I273" s="27">
        <v>1</v>
      </c>
    </row>
    <row r="274" spans="2:9" ht="22.5" customHeight="1" x14ac:dyDescent="0.55000000000000004">
      <c r="B274" s="32"/>
      <c r="C274" s="43"/>
      <c r="D274" s="74"/>
      <c r="E274" s="13"/>
      <c r="F274" s="35"/>
      <c r="G274" s="36"/>
      <c r="H274" s="153"/>
      <c r="I274" s="66"/>
    </row>
    <row r="275" spans="2:9" ht="22.5" customHeight="1" x14ac:dyDescent="0.55000000000000004">
      <c r="B275" s="27">
        <v>135</v>
      </c>
      <c r="C275" s="28" t="s">
        <v>312</v>
      </c>
      <c r="D275" s="29" t="s">
        <v>55</v>
      </c>
      <c r="E275" s="18" t="s">
        <v>514</v>
      </c>
      <c r="F275" s="30">
        <f>53400*1.07</f>
        <v>57138</v>
      </c>
      <c r="G275" s="31">
        <v>44516</v>
      </c>
      <c r="H275" s="155" t="s">
        <v>515</v>
      </c>
      <c r="I275" s="27">
        <v>1</v>
      </c>
    </row>
    <row r="276" spans="2:9" ht="22.5" customHeight="1" x14ac:dyDescent="0.55000000000000004">
      <c r="B276" s="32"/>
      <c r="C276" s="33"/>
      <c r="D276" s="37"/>
      <c r="E276" s="13" t="s">
        <v>324</v>
      </c>
      <c r="F276" s="35"/>
      <c r="G276" s="36"/>
      <c r="H276" s="153"/>
      <c r="I276" s="66"/>
    </row>
    <row r="277" spans="2:9" ht="22.5" customHeight="1" x14ac:dyDescent="0.55000000000000004">
      <c r="B277" s="27">
        <v>136</v>
      </c>
      <c r="C277" s="44" t="s">
        <v>41</v>
      </c>
      <c r="D277" s="29" t="s">
        <v>5</v>
      </c>
      <c r="E277" s="18" t="s">
        <v>516</v>
      </c>
      <c r="F277" s="30">
        <f>63780*1.07</f>
        <v>68244.600000000006</v>
      </c>
      <c r="G277" s="31">
        <v>44516</v>
      </c>
      <c r="H277" s="155" t="s">
        <v>517</v>
      </c>
      <c r="I277" s="27">
        <v>1</v>
      </c>
    </row>
    <row r="278" spans="2:9" ht="22.5" customHeight="1" x14ac:dyDescent="0.55000000000000004">
      <c r="B278" s="32"/>
      <c r="C278" s="43"/>
      <c r="D278" s="37"/>
      <c r="E278" s="13" t="s">
        <v>518</v>
      </c>
      <c r="F278" s="35"/>
      <c r="G278" s="36"/>
      <c r="H278" s="153"/>
      <c r="I278" s="66"/>
    </row>
    <row r="279" spans="2:9" ht="22.5" customHeight="1" x14ac:dyDescent="0.55000000000000004">
      <c r="B279" s="27">
        <v>137</v>
      </c>
      <c r="C279" s="7" t="s">
        <v>73</v>
      </c>
      <c r="D279" s="73" t="s">
        <v>90</v>
      </c>
      <c r="E279" s="25" t="s">
        <v>519</v>
      </c>
      <c r="F279" s="30">
        <f>56800*1.07</f>
        <v>60776</v>
      </c>
      <c r="G279" s="31">
        <v>44516</v>
      </c>
      <c r="H279" s="155" t="s">
        <v>520</v>
      </c>
      <c r="I279" s="27">
        <v>1</v>
      </c>
    </row>
    <row r="280" spans="2:9" ht="22.5" customHeight="1" x14ac:dyDescent="0.55000000000000004">
      <c r="B280" s="32"/>
      <c r="C280" s="33"/>
      <c r="D280" s="37"/>
      <c r="E280" s="13"/>
      <c r="F280" s="35"/>
      <c r="G280" s="36"/>
      <c r="H280" s="153"/>
      <c r="I280" s="66"/>
    </row>
    <row r="281" spans="2:9" ht="22.5" customHeight="1" x14ac:dyDescent="0.55000000000000004">
      <c r="B281" s="27">
        <v>138</v>
      </c>
      <c r="C281" s="44" t="s">
        <v>67</v>
      </c>
      <c r="D281" s="29" t="s">
        <v>521</v>
      </c>
      <c r="E281" s="18" t="s">
        <v>522</v>
      </c>
      <c r="F281" s="30">
        <f>10080*1.07</f>
        <v>10785.6</v>
      </c>
      <c r="G281" s="31">
        <v>44517</v>
      </c>
      <c r="H281" s="155" t="s">
        <v>523</v>
      </c>
      <c r="I281" s="27">
        <v>1</v>
      </c>
    </row>
    <row r="282" spans="2:9" ht="22.5" customHeight="1" x14ac:dyDescent="0.55000000000000004">
      <c r="B282" s="32"/>
      <c r="C282" s="43"/>
      <c r="D282" s="74"/>
      <c r="E282" s="13" t="s">
        <v>324</v>
      </c>
      <c r="F282" s="35"/>
      <c r="G282" s="36"/>
      <c r="H282" s="153"/>
      <c r="I282" s="66"/>
    </row>
    <row r="283" spans="2:9" ht="22.5" customHeight="1" x14ac:dyDescent="0.55000000000000004">
      <c r="B283" s="27">
        <v>139</v>
      </c>
      <c r="C283" s="76" t="s">
        <v>62</v>
      </c>
      <c r="D283" s="75" t="s">
        <v>28</v>
      </c>
      <c r="E283" s="18" t="s">
        <v>1042</v>
      </c>
      <c r="F283" s="30">
        <f>71000*1.07</f>
        <v>75970</v>
      </c>
      <c r="G283" s="31">
        <v>44517</v>
      </c>
      <c r="H283" s="155" t="s">
        <v>524</v>
      </c>
      <c r="I283" s="27">
        <v>1</v>
      </c>
    </row>
    <row r="284" spans="2:9" ht="22.5" customHeight="1" x14ac:dyDescent="0.55000000000000004">
      <c r="B284" s="32"/>
      <c r="C284" s="33"/>
      <c r="D284" s="34" t="s">
        <v>110</v>
      </c>
      <c r="E284" s="13" t="s">
        <v>1043</v>
      </c>
      <c r="F284" s="35"/>
      <c r="G284" s="36"/>
      <c r="H284" s="153"/>
      <c r="I284" s="66"/>
    </row>
    <row r="285" spans="2:9" ht="22.5" customHeight="1" x14ac:dyDescent="0.55000000000000004">
      <c r="B285" s="27">
        <v>140</v>
      </c>
      <c r="C285" s="72" t="s">
        <v>75</v>
      </c>
      <c r="D285" s="77" t="s">
        <v>116</v>
      </c>
      <c r="E285" s="18" t="s">
        <v>525</v>
      </c>
      <c r="F285" s="30">
        <f>83680*1.07</f>
        <v>89537.600000000006</v>
      </c>
      <c r="G285" s="31">
        <v>44517</v>
      </c>
      <c r="H285" s="159" t="s">
        <v>526</v>
      </c>
      <c r="I285" s="27">
        <v>1</v>
      </c>
    </row>
    <row r="286" spans="2:9" ht="22.5" customHeight="1" x14ac:dyDescent="0.55000000000000004">
      <c r="B286" s="32"/>
      <c r="C286" s="70"/>
      <c r="D286" s="74"/>
      <c r="E286" s="13"/>
      <c r="F286" s="35"/>
      <c r="G286" s="36"/>
      <c r="H286" s="160"/>
      <c r="I286" s="66"/>
    </row>
    <row r="287" spans="2:9" ht="22.5" customHeight="1" x14ac:dyDescent="0.55000000000000004">
      <c r="B287" s="27">
        <v>141</v>
      </c>
      <c r="C287" s="44" t="s">
        <v>42</v>
      </c>
      <c r="D287" s="52" t="s">
        <v>16</v>
      </c>
      <c r="E287" s="18" t="s">
        <v>527</v>
      </c>
      <c r="F287" s="30">
        <f>4800*1.07</f>
        <v>5136</v>
      </c>
      <c r="G287" s="78">
        <v>44517</v>
      </c>
      <c r="H287" s="155" t="s">
        <v>528</v>
      </c>
      <c r="I287" s="27">
        <v>1</v>
      </c>
    </row>
    <row r="288" spans="2:9" ht="22.5" customHeight="1" x14ac:dyDescent="0.55000000000000004">
      <c r="B288" s="32"/>
      <c r="C288" s="43"/>
      <c r="D288" s="34"/>
      <c r="E288" s="13"/>
      <c r="F288" s="35"/>
      <c r="G288" s="79"/>
      <c r="H288" s="154"/>
      <c r="I288" s="66"/>
    </row>
    <row r="289" spans="2:9" ht="22.5" customHeight="1" x14ac:dyDescent="0.55000000000000004">
      <c r="B289" s="27">
        <v>142</v>
      </c>
      <c r="C289" s="23" t="s">
        <v>529</v>
      </c>
      <c r="D289" s="80" t="s">
        <v>17</v>
      </c>
      <c r="E289" s="18" t="s">
        <v>530</v>
      </c>
      <c r="F289" s="81">
        <f>67060*1.07</f>
        <v>71754.2</v>
      </c>
      <c r="G289" s="31">
        <v>44518</v>
      </c>
      <c r="H289" s="155" t="s">
        <v>531</v>
      </c>
      <c r="I289" s="27">
        <v>1</v>
      </c>
    </row>
    <row r="290" spans="2:9" ht="22.5" customHeight="1" x14ac:dyDescent="0.55000000000000004">
      <c r="B290" s="32"/>
      <c r="C290" s="43"/>
      <c r="D290" s="37"/>
      <c r="E290" s="13"/>
      <c r="F290" s="82"/>
      <c r="G290" s="66"/>
      <c r="H290" s="153"/>
      <c r="I290" s="66"/>
    </row>
    <row r="291" spans="2:9" ht="22.5" customHeight="1" x14ac:dyDescent="0.55000000000000004">
      <c r="B291" s="27">
        <v>143</v>
      </c>
      <c r="C291" s="118" t="s">
        <v>312</v>
      </c>
      <c r="D291" s="75" t="s">
        <v>7</v>
      </c>
      <c r="E291" s="64" t="s">
        <v>532</v>
      </c>
      <c r="F291" s="81">
        <f>59000*1.07</f>
        <v>63130.000000000007</v>
      </c>
      <c r="G291" s="31">
        <v>44518</v>
      </c>
      <c r="H291" s="155" t="s">
        <v>533</v>
      </c>
      <c r="I291" s="27">
        <v>1</v>
      </c>
    </row>
    <row r="292" spans="2:9" ht="22.5" customHeight="1" x14ac:dyDescent="0.55000000000000004">
      <c r="B292" s="32"/>
      <c r="C292" s="33"/>
      <c r="D292" s="34"/>
      <c r="E292" s="65"/>
      <c r="F292" s="82"/>
      <c r="G292" s="66"/>
      <c r="H292" s="153"/>
      <c r="I292" s="66"/>
    </row>
    <row r="293" spans="2:9" ht="22.5" customHeight="1" x14ac:dyDescent="0.55000000000000004">
      <c r="B293" s="27">
        <v>144</v>
      </c>
      <c r="C293" s="114" t="s">
        <v>534</v>
      </c>
      <c r="D293" s="52" t="s">
        <v>535</v>
      </c>
      <c r="E293" s="64" t="s">
        <v>536</v>
      </c>
      <c r="F293" s="81">
        <f>17960*1.07</f>
        <v>19217.2</v>
      </c>
      <c r="G293" s="31">
        <v>44518</v>
      </c>
      <c r="H293" s="155" t="s">
        <v>537</v>
      </c>
      <c r="I293" s="27">
        <v>1</v>
      </c>
    </row>
    <row r="294" spans="2:9" ht="22.5" customHeight="1" x14ac:dyDescent="0.55000000000000004">
      <c r="B294" s="32"/>
      <c r="C294" s="33"/>
      <c r="D294" s="34" t="s">
        <v>110</v>
      </c>
      <c r="E294" s="65"/>
      <c r="F294" s="82"/>
      <c r="G294" s="66"/>
      <c r="H294" s="153"/>
      <c r="I294" s="66"/>
    </row>
    <row r="295" spans="2:9" ht="22.5" customHeight="1" x14ac:dyDescent="0.55000000000000004">
      <c r="B295" s="27">
        <v>145</v>
      </c>
      <c r="C295" s="11" t="s">
        <v>538</v>
      </c>
      <c r="D295" s="75" t="s">
        <v>539</v>
      </c>
      <c r="E295" s="64" t="s">
        <v>540</v>
      </c>
      <c r="F295" s="81">
        <f>55245*1.07</f>
        <v>59112.15</v>
      </c>
      <c r="G295" s="31">
        <v>44518</v>
      </c>
      <c r="H295" s="155" t="s">
        <v>541</v>
      </c>
      <c r="I295" s="27">
        <v>1</v>
      </c>
    </row>
    <row r="296" spans="2:9" ht="22.5" customHeight="1" x14ac:dyDescent="0.55000000000000004">
      <c r="B296" s="32"/>
      <c r="C296" s="33"/>
      <c r="D296" s="34"/>
      <c r="E296" s="65" t="s">
        <v>542</v>
      </c>
      <c r="F296" s="82"/>
      <c r="G296" s="66"/>
      <c r="H296" s="153"/>
      <c r="I296" s="66"/>
    </row>
    <row r="297" spans="2:9" ht="22.5" customHeight="1" x14ac:dyDescent="0.55000000000000004">
      <c r="B297" s="27">
        <v>146</v>
      </c>
      <c r="C297" s="58" t="s">
        <v>42</v>
      </c>
      <c r="D297" s="52" t="s">
        <v>16</v>
      </c>
      <c r="E297" s="64" t="s">
        <v>543</v>
      </c>
      <c r="F297" s="81">
        <f>10760*1.07</f>
        <v>11513.2</v>
      </c>
      <c r="G297" s="31">
        <v>44518</v>
      </c>
      <c r="H297" s="155" t="s">
        <v>544</v>
      </c>
      <c r="I297" s="27">
        <v>1</v>
      </c>
    </row>
    <row r="298" spans="2:9" ht="22.5" customHeight="1" x14ac:dyDescent="0.55000000000000004">
      <c r="B298" s="32"/>
      <c r="C298" s="43"/>
      <c r="D298" s="34"/>
      <c r="E298" s="13" t="s">
        <v>324</v>
      </c>
      <c r="F298" s="82"/>
      <c r="G298" s="66"/>
      <c r="H298" s="153"/>
      <c r="I298" s="66"/>
    </row>
    <row r="299" spans="2:9" ht="22.5" customHeight="1" x14ac:dyDescent="0.55000000000000004">
      <c r="B299" s="27">
        <v>147</v>
      </c>
      <c r="C299" s="44" t="s">
        <v>44</v>
      </c>
      <c r="D299" s="75" t="s">
        <v>26</v>
      </c>
      <c r="E299" s="64" t="s">
        <v>545</v>
      </c>
      <c r="F299" s="81">
        <f>15540*1.07</f>
        <v>16627.8</v>
      </c>
      <c r="G299" s="31">
        <v>44518</v>
      </c>
      <c r="H299" s="159" t="s">
        <v>546</v>
      </c>
      <c r="I299" s="27">
        <v>1</v>
      </c>
    </row>
    <row r="300" spans="2:9" ht="22.5" customHeight="1" x14ac:dyDescent="0.55000000000000004">
      <c r="B300" s="32"/>
      <c r="C300" s="43"/>
      <c r="D300" s="34"/>
      <c r="E300" s="86" t="s">
        <v>324</v>
      </c>
      <c r="F300" s="82"/>
      <c r="G300" s="66"/>
      <c r="H300" s="160"/>
      <c r="I300" s="66"/>
    </row>
    <row r="301" spans="2:9" ht="22.5" customHeight="1" x14ac:dyDescent="0.55000000000000004">
      <c r="B301" s="27">
        <v>148</v>
      </c>
      <c r="C301" s="44" t="s">
        <v>44</v>
      </c>
      <c r="D301" s="75" t="s">
        <v>8</v>
      </c>
      <c r="E301" s="64" t="s">
        <v>547</v>
      </c>
      <c r="F301" s="81">
        <f>14400*1.07</f>
        <v>15408</v>
      </c>
      <c r="G301" s="31">
        <v>44518</v>
      </c>
      <c r="H301" s="159" t="s">
        <v>548</v>
      </c>
      <c r="I301" s="27">
        <v>1</v>
      </c>
    </row>
    <row r="302" spans="2:9" ht="22.5" customHeight="1" x14ac:dyDescent="0.55000000000000004">
      <c r="B302" s="32"/>
      <c r="C302" s="43"/>
      <c r="D302" s="34"/>
      <c r="E302" s="65"/>
      <c r="F302" s="82"/>
      <c r="G302" s="66"/>
      <c r="H302" s="160"/>
      <c r="I302" s="66"/>
    </row>
    <row r="303" spans="2:9" ht="22.5" customHeight="1" x14ac:dyDescent="0.55000000000000004">
      <c r="B303" s="27">
        <v>149</v>
      </c>
      <c r="C303" s="44" t="s">
        <v>44</v>
      </c>
      <c r="D303" s="75" t="s">
        <v>8</v>
      </c>
      <c r="E303" s="64" t="s">
        <v>549</v>
      </c>
      <c r="F303" s="81">
        <f>2508*1.07</f>
        <v>2683.56</v>
      </c>
      <c r="G303" s="31">
        <v>44518</v>
      </c>
      <c r="H303" s="159" t="s">
        <v>550</v>
      </c>
      <c r="I303" s="27">
        <v>1</v>
      </c>
    </row>
    <row r="304" spans="2:9" ht="22.5" customHeight="1" x14ac:dyDescent="0.55000000000000004">
      <c r="B304" s="32"/>
      <c r="C304" s="43"/>
      <c r="D304" s="34"/>
      <c r="E304" s="13" t="s">
        <v>518</v>
      </c>
      <c r="F304" s="82"/>
      <c r="G304" s="66"/>
      <c r="H304" s="160"/>
      <c r="I304" s="66"/>
    </row>
    <row r="305" spans="2:9" ht="22.5" customHeight="1" x14ac:dyDescent="0.55000000000000004">
      <c r="B305" s="27">
        <v>150</v>
      </c>
      <c r="C305" s="11" t="s">
        <v>409</v>
      </c>
      <c r="D305" s="75" t="s">
        <v>551</v>
      </c>
      <c r="E305" s="64" t="s">
        <v>552</v>
      </c>
      <c r="F305" s="81">
        <f>72000*1.07</f>
        <v>77040</v>
      </c>
      <c r="G305" s="31">
        <v>44519</v>
      </c>
      <c r="H305" s="159" t="s">
        <v>979</v>
      </c>
      <c r="I305" s="27">
        <v>1</v>
      </c>
    </row>
    <row r="306" spans="2:9" ht="22.5" customHeight="1" x14ac:dyDescent="0.55000000000000004">
      <c r="B306" s="32"/>
      <c r="C306" s="33"/>
      <c r="D306" s="34"/>
      <c r="E306" s="65"/>
      <c r="F306" s="82"/>
      <c r="G306" s="66"/>
      <c r="H306" s="160"/>
      <c r="I306" s="66"/>
    </row>
    <row r="307" spans="2:9" ht="22.5" customHeight="1" x14ac:dyDescent="0.55000000000000004">
      <c r="B307" s="27">
        <v>151</v>
      </c>
      <c r="C307" s="11" t="s">
        <v>553</v>
      </c>
      <c r="D307" s="75" t="s">
        <v>56</v>
      </c>
      <c r="E307" s="64" t="s">
        <v>554</v>
      </c>
      <c r="F307" s="81">
        <f>11000*1.07</f>
        <v>11770</v>
      </c>
      <c r="G307" s="31">
        <v>44519</v>
      </c>
      <c r="H307" s="159" t="s">
        <v>980</v>
      </c>
      <c r="I307" s="27">
        <v>1</v>
      </c>
    </row>
    <row r="308" spans="2:9" ht="22.5" customHeight="1" x14ac:dyDescent="0.55000000000000004">
      <c r="B308" s="32"/>
      <c r="C308" s="85"/>
      <c r="D308" s="34"/>
      <c r="E308" s="65"/>
      <c r="F308" s="82"/>
      <c r="G308" s="66"/>
      <c r="H308" s="160"/>
      <c r="I308" s="66"/>
    </row>
    <row r="309" spans="2:9" ht="22.5" customHeight="1" x14ac:dyDescent="0.55000000000000004">
      <c r="B309" s="27">
        <v>152</v>
      </c>
      <c r="C309" s="11" t="s">
        <v>43</v>
      </c>
      <c r="D309" s="75" t="s">
        <v>29</v>
      </c>
      <c r="E309" s="64" t="s">
        <v>555</v>
      </c>
      <c r="F309" s="81">
        <f>26600*1.07</f>
        <v>28462</v>
      </c>
      <c r="G309" s="31">
        <v>44519</v>
      </c>
      <c r="H309" s="159" t="s">
        <v>981</v>
      </c>
      <c r="I309" s="27">
        <v>1</v>
      </c>
    </row>
    <row r="310" spans="2:9" ht="22.5" customHeight="1" x14ac:dyDescent="0.55000000000000004">
      <c r="B310" s="32"/>
      <c r="C310" s="85"/>
      <c r="D310" s="34"/>
      <c r="E310" s="65"/>
      <c r="F310" s="82"/>
      <c r="G310" s="66"/>
      <c r="H310" s="160"/>
      <c r="I310" s="66"/>
    </row>
    <row r="311" spans="2:9" ht="22.5" customHeight="1" x14ac:dyDescent="0.55000000000000004">
      <c r="B311" s="27">
        <v>153</v>
      </c>
      <c r="C311" s="7" t="s">
        <v>73</v>
      </c>
      <c r="D311" s="75" t="s">
        <v>47</v>
      </c>
      <c r="E311" s="18" t="s">
        <v>556</v>
      </c>
      <c r="F311" s="81">
        <f>90400*1.07</f>
        <v>96728</v>
      </c>
      <c r="G311" s="31">
        <v>44519</v>
      </c>
      <c r="H311" s="159" t="s">
        <v>982</v>
      </c>
      <c r="I311" s="27">
        <v>1</v>
      </c>
    </row>
    <row r="312" spans="2:9" ht="22.5" customHeight="1" x14ac:dyDescent="0.55000000000000004">
      <c r="B312" s="32"/>
      <c r="C312" s="33"/>
      <c r="D312" s="34"/>
      <c r="E312" s="13" t="s">
        <v>324</v>
      </c>
      <c r="F312" s="82"/>
      <c r="G312" s="66"/>
      <c r="H312" s="160"/>
      <c r="I312" s="66"/>
    </row>
    <row r="313" spans="2:9" ht="22.5" customHeight="1" x14ac:dyDescent="0.55000000000000004">
      <c r="B313" s="27">
        <v>154</v>
      </c>
      <c r="C313" s="44" t="s">
        <v>44</v>
      </c>
      <c r="D313" s="63" t="s">
        <v>19</v>
      </c>
      <c r="E313" s="38" t="s">
        <v>557</v>
      </c>
      <c r="F313" s="81">
        <f>17540*1.07</f>
        <v>18767.800000000003</v>
      </c>
      <c r="G313" s="31">
        <v>44519</v>
      </c>
      <c r="H313" s="164" t="s">
        <v>558</v>
      </c>
      <c r="I313" s="27">
        <v>1</v>
      </c>
    </row>
    <row r="314" spans="2:9" ht="22.5" customHeight="1" x14ac:dyDescent="0.55000000000000004">
      <c r="B314" s="32"/>
      <c r="C314" s="43"/>
      <c r="D314" s="63"/>
      <c r="E314" s="13" t="s">
        <v>397</v>
      </c>
      <c r="F314" s="82"/>
      <c r="G314" s="66"/>
      <c r="H314" s="164"/>
      <c r="I314" s="66"/>
    </row>
    <row r="315" spans="2:9" ht="22.5" customHeight="1" x14ac:dyDescent="0.55000000000000004">
      <c r="B315" s="27">
        <v>155</v>
      </c>
      <c r="C315" s="44" t="s">
        <v>91</v>
      </c>
      <c r="D315" s="52" t="s">
        <v>366</v>
      </c>
      <c r="E315" s="38" t="s">
        <v>559</v>
      </c>
      <c r="F315" s="81">
        <f>20510*1.07</f>
        <v>21945.7</v>
      </c>
      <c r="G315" s="31">
        <v>44519</v>
      </c>
      <c r="H315" s="159" t="s">
        <v>560</v>
      </c>
      <c r="I315" s="27">
        <v>1</v>
      </c>
    </row>
    <row r="316" spans="2:9" ht="22.5" customHeight="1" x14ac:dyDescent="0.55000000000000004">
      <c r="B316" s="32"/>
      <c r="C316" s="43"/>
      <c r="D316" s="34"/>
      <c r="E316" s="38" t="s">
        <v>561</v>
      </c>
      <c r="F316" s="82"/>
      <c r="G316" s="66"/>
      <c r="H316" s="160"/>
      <c r="I316" s="66"/>
    </row>
    <row r="317" spans="2:9" ht="22.5" customHeight="1" x14ac:dyDescent="0.55000000000000004">
      <c r="B317" s="27">
        <v>156</v>
      </c>
      <c r="C317" s="11" t="s">
        <v>562</v>
      </c>
      <c r="D317" s="75" t="s">
        <v>563</v>
      </c>
      <c r="E317" s="18" t="s">
        <v>564</v>
      </c>
      <c r="F317" s="81">
        <f>92500*1.07</f>
        <v>98975</v>
      </c>
      <c r="G317" s="31">
        <v>44519</v>
      </c>
      <c r="H317" s="159" t="s">
        <v>565</v>
      </c>
      <c r="I317" s="27">
        <v>1</v>
      </c>
    </row>
    <row r="318" spans="2:9" ht="22.5" customHeight="1" x14ac:dyDescent="0.55000000000000004">
      <c r="B318" s="32"/>
      <c r="C318" s="85"/>
      <c r="D318" s="34"/>
      <c r="E318" s="13"/>
      <c r="F318" s="82"/>
      <c r="G318" s="66"/>
      <c r="H318" s="160"/>
      <c r="I318" s="66"/>
    </row>
    <row r="319" spans="2:9" ht="22.5" customHeight="1" x14ac:dyDescent="0.55000000000000004">
      <c r="B319" s="27">
        <v>157</v>
      </c>
      <c r="C319" s="44" t="s">
        <v>42</v>
      </c>
      <c r="D319" s="75" t="s">
        <v>14</v>
      </c>
      <c r="E319" s="18" t="s">
        <v>566</v>
      </c>
      <c r="F319" s="81">
        <f>4000*1.07</f>
        <v>4280</v>
      </c>
      <c r="G319" s="31">
        <v>44519</v>
      </c>
      <c r="H319" s="159" t="s">
        <v>567</v>
      </c>
      <c r="I319" s="27">
        <v>1</v>
      </c>
    </row>
    <row r="320" spans="2:9" ht="22.5" customHeight="1" x14ac:dyDescent="0.55000000000000004">
      <c r="B320" s="32"/>
      <c r="C320" s="43"/>
      <c r="D320" s="34"/>
      <c r="E320" s="13"/>
      <c r="F320" s="82"/>
      <c r="G320" s="66"/>
      <c r="H320" s="160"/>
      <c r="I320" s="66"/>
    </row>
    <row r="321" spans="2:9" ht="22.5" customHeight="1" x14ac:dyDescent="0.55000000000000004">
      <c r="B321" s="27">
        <v>158</v>
      </c>
      <c r="C321" s="44" t="s">
        <v>41</v>
      </c>
      <c r="D321" s="75" t="s">
        <v>5</v>
      </c>
      <c r="E321" s="18" t="s">
        <v>568</v>
      </c>
      <c r="F321" s="81">
        <f>7168*1.07</f>
        <v>7669.76</v>
      </c>
      <c r="G321" s="31">
        <v>44519</v>
      </c>
      <c r="H321" s="159" t="s">
        <v>569</v>
      </c>
      <c r="I321" s="27">
        <v>1</v>
      </c>
    </row>
    <row r="322" spans="2:9" ht="22.5" customHeight="1" x14ac:dyDescent="0.55000000000000004">
      <c r="B322" s="32"/>
      <c r="C322" s="43"/>
      <c r="D322" s="34"/>
      <c r="E322" s="13"/>
      <c r="F322" s="82"/>
      <c r="G322" s="66"/>
      <c r="H322" s="160"/>
      <c r="I322" s="66"/>
    </row>
    <row r="323" spans="2:9" ht="22.5" customHeight="1" x14ac:dyDescent="0.55000000000000004">
      <c r="B323" s="27">
        <v>159</v>
      </c>
      <c r="C323" s="44" t="s">
        <v>41</v>
      </c>
      <c r="D323" s="75" t="s">
        <v>5</v>
      </c>
      <c r="E323" s="18" t="s">
        <v>570</v>
      </c>
      <c r="F323" s="81">
        <f>1800*1.07</f>
        <v>1926</v>
      </c>
      <c r="G323" s="31">
        <v>44519</v>
      </c>
      <c r="H323" s="159" t="s">
        <v>571</v>
      </c>
      <c r="I323" s="27">
        <v>1</v>
      </c>
    </row>
    <row r="324" spans="2:9" ht="22.5" customHeight="1" x14ac:dyDescent="0.55000000000000004">
      <c r="B324" s="32"/>
      <c r="C324" s="43"/>
      <c r="D324" s="34"/>
      <c r="E324" s="13"/>
      <c r="F324" s="82"/>
      <c r="G324" s="66"/>
      <c r="H324" s="160"/>
      <c r="I324" s="66"/>
    </row>
    <row r="325" spans="2:9" ht="22.5" customHeight="1" x14ac:dyDescent="0.55000000000000004">
      <c r="B325" s="27">
        <v>160</v>
      </c>
      <c r="C325" s="72" t="s">
        <v>384</v>
      </c>
      <c r="D325" s="75" t="s">
        <v>191</v>
      </c>
      <c r="E325" s="12" t="s">
        <v>572</v>
      </c>
      <c r="F325" s="81">
        <f>38640*1.07</f>
        <v>41344.800000000003</v>
      </c>
      <c r="G325" s="31">
        <v>44519</v>
      </c>
      <c r="H325" s="159" t="s">
        <v>573</v>
      </c>
      <c r="I325" s="27">
        <v>1</v>
      </c>
    </row>
    <row r="326" spans="2:9" ht="22.5" customHeight="1" x14ac:dyDescent="0.55000000000000004">
      <c r="B326" s="32"/>
      <c r="C326" s="32"/>
      <c r="D326" s="34"/>
      <c r="E326" s="87" t="s">
        <v>332</v>
      </c>
      <c r="F326" s="88"/>
      <c r="G326" s="89"/>
      <c r="H326" s="164"/>
      <c r="I326" s="66"/>
    </row>
    <row r="327" spans="2:9" ht="22.5" customHeight="1" x14ac:dyDescent="0.55000000000000004">
      <c r="B327" s="27">
        <v>161</v>
      </c>
      <c r="C327" s="44" t="s">
        <v>41</v>
      </c>
      <c r="D327" s="75" t="s">
        <v>5</v>
      </c>
      <c r="E327" s="64" t="s">
        <v>574</v>
      </c>
      <c r="F327" s="30">
        <f>6600*1.07</f>
        <v>7062</v>
      </c>
      <c r="G327" s="31">
        <v>44519</v>
      </c>
      <c r="H327" s="159" t="s">
        <v>575</v>
      </c>
      <c r="I327" s="27">
        <v>1</v>
      </c>
    </row>
    <row r="328" spans="2:9" ht="22.5" customHeight="1" x14ac:dyDescent="0.55000000000000004">
      <c r="B328" s="32"/>
      <c r="C328" s="43"/>
      <c r="D328" s="34"/>
      <c r="E328" s="65"/>
      <c r="F328" s="35"/>
      <c r="G328" s="66"/>
      <c r="H328" s="160"/>
      <c r="I328" s="66"/>
    </row>
    <row r="329" spans="2:9" ht="21.75" customHeight="1" x14ac:dyDescent="0.55000000000000004">
      <c r="B329" s="27">
        <v>162</v>
      </c>
      <c r="C329" s="91" t="s">
        <v>73</v>
      </c>
      <c r="D329" s="73" t="s">
        <v>47</v>
      </c>
      <c r="E329" s="18" t="s">
        <v>1052</v>
      </c>
      <c r="F329" s="92">
        <f>5840*1.07</f>
        <v>6248.8</v>
      </c>
      <c r="G329" s="31">
        <v>44519</v>
      </c>
      <c r="H329" s="159" t="s">
        <v>576</v>
      </c>
      <c r="I329" s="27">
        <v>1</v>
      </c>
    </row>
    <row r="330" spans="2:9" ht="21.75" customHeight="1" x14ac:dyDescent="0.55000000000000004">
      <c r="B330" s="32"/>
      <c r="C330" s="93"/>
      <c r="D330" s="150"/>
      <c r="E330" s="13" t="s">
        <v>1035</v>
      </c>
      <c r="F330" s="94"/>
      <c r="G330" s="203"/>
      <c r="H330" s="160"/>
      <c r="I330" s="66"/>
    </row>
    <row r="331" spans="2:9" ht="21.75" customHeight="1" x14ac:dyDescent="0.55000000000000004">
      <c r="B331" s="27">
        <v>163</v>
      </c>
      <c r="C331" s="58" t="s">
        <v>121</v>
      </c>
      <c r="D331" s="40" t="s">
        <v>290</v>
      </c>
      <c r="E331" s="60" t="s">
        <v>577</v>
      </c>
      <c r="F331" s="68">
        <f>1400*1.07</f>
        <v>1498</v>
      </c>
      <c r="G331" s="49">
        <v>44519</v>
      </c>
      <c r="H331" s="154" t="s">
        <v>578</v>
      </c>
      <c r="I331" s="70">
        <v>1</v>
      </c>
    </row>
    <row r="332" spans="2:9" ht="21.75" customHeight="1" x14ac:dyDescent="0.55000000000000004">
      <c r="B332" s="32"/>
      <c r="C332" s="43"/>
      <c r="D332" s="34"/>
      <c r="E332" s="86" t="s">
        <v>324</v>
      </c>
      <c r="F332" s="35"/>
      <c r="G332" s="66"/>
      <c r="H332" s="153"/>
      <c r="I332" s="32"/>
    </row>
    <row r="333" spans="2:9" ht="21.75" customHeight="1" x14ac:dyDescent="0.55000000000000004">
      <c r="B333" s="27">
        <v>164</v>
      </c>
      <c r="C333" s="95" t="s">
        <v>74</v>
      </c>
      <c r="D333" s="75" t="s">
        <v>579</v>
      </c>
      <c r="E333" s="62" t="s">
        <v>1053</v>
      </c>
      <c r="F333" s="30">
        <f>3640*1.07</f>
        <v>3894.8</v>
      </c>
      <c r="G333" s="31">
        <v>44519</v>
      </c>
      <c r="H333" s="155" t="s">
        <v>580</v>
      </c>
      <c r="I333" s="27">
        <v>1</v>
      </c>
    </row>
    <row r="334" spans="2:9" ht="21.75" customHeight="1" x14ac:dyDescent="0.55000000000000004">
      <c r="B334" s="32"/>
      <c r="C334" s="93"/>
      <c r="D334" s="34"/>
      <c r="E334" s="86" t="s">
        <v>324</v>
      </c>
      <c r="F334" s="35"/>
      <c r="G334" s="66"/>
      <c r="H334" s="153"/>
      <c r="I334" s="32"/>
    </row>
    <row r="335" spans="2:9" ht="21.75" customHeight="1" x14ac:dyDescent="0.55000000000000004">
      <c r="B335" s="27">
        <v>165</v>
      </c>
      <c r="C335" s="72" t="s">
        <v>581</v>
      </c>
      <c r="D335" s="75" t="s">
        <v>582</v>
      </c>
      <c r="E335" s="18" t="s">
        <v>1048</v>
      </c>
      <c r="F335" s="30">
        <f>11400*1.07</f>
        <v>12198</v>
      </c>
      <c r="G335" s="31">
        <v>44519</v>
      </c>
      <c r="H335" s="155" t="s">
        <v>583</v>
      </c>
      <c r="I335" s="27">
        <v>1</v>
      </c>
    </row>
    <row r="336" spans="2:9" ht="21.75" customHeight="1" x14ac:dyDescent="0.55000000000000004">
      <c r="B336" s="32"/>
      <c r="C336" s="32"/>
      <c r="D336" s="34"/>
      <c r="E336" s="13"/>
      <c r="F336" s="35"/>
      <c r="G336" s="66"/>
      <c r="H336" s="153"/>
      <c r="I336" s="32"/>
    </row>
    <row r="337" spans="2:9" ht="21.75" customHeight="1" x14ac:dyDescent="0.55000000000000004">
      <c r="B337" s="27">
        <v>166</v>
      </c>
      <c r="C337" s="11" t="s">
        <v>464</v>
      </c>
      <c r="D337" s="75" t="s">
        <v>87</v>
      </c>
      <c r="E337" s="62" t="s">
        <v>584</v>
      </c>
      <c r="F337" s="30">
        <f>40300*1.07</f>
        <v>43121</v>
      </c>
      <c r="G337" s="31">
        <v>44519</v>
      </c>
      <c r="H337" s="155" t="s">
        <v>983</v>
      </c>
      <c r="I337" s="27">
        <v>1</v>
      </c>
    </row>
    <row r="338" spans="2:9" ht="21.75" customHeight="1" x14ac:dyDescent="0.55000000000000004">
      <c r="B338" s="32"/>
      <c r="C338" s="33"/>
      <c r="D338" s="34"/>
      <c r="E338" s="86" t="s">
        <v>324</v>
      </c>
      <c r="F338" s="35"/>
      <c r="G338" s="66"/>
      <c r="H338" s="153"/>
      <c r="I338" s="32"/>
    </row>
    <row r="339" spans="2:9" ht="21.75" customHeight="1" x14ac:dyDescent="0.55000000000000004">
      <c r="B339" s="27">
        <v>167</v>
      </c>
      <c r="C339" s="23" t="s">
        <v>585</v>
      </c>
      <c r="D339" s="40" t="s">
        <v>117</v>
      </c>
      <c r="E339" s="18" t="s">
        <v>1047</v>
      </c>
      <c r="F339" s="30">
        <f>3500*1.07</f>
        <v>3745</v>
      </c>
      <c r="G339" s="31">
        <v>44519</v>
      </c>
      <c r="H339" s="155" t="s">
        <v>586</v>
      </c>
      <c r="I339" s="27">
        <v>1</v>
      </c>
    </row>
    <row r="340" spans="2:9" ht="21.75" customHeight="1" x14ac:dyDescent="0.55000000000000004">
      <c r="B340" s="32"/>
      <c r="C340" s="33"/>
      <c r="D340" s="34"/>
      <c r="E340" s="86" t="s">
        <v>324</v>
      </c>
      <c r="F340" s="35"/>
      <c r="G340" s="66"/>
      <c r="H340" s="153"/>
      <c r="I340" s="32"/>
    </row>
    <row r="341" spans="2:9" ht="21.75" customHeight="1" x14ac:dyDescent="0.55000000000000004">
      <c r="B341" s="27">
        <v>168</v>
      </c>
      <c r="C341" s="44" t="s">
        <v>73</v>
      </c>
      <c r="D341" s="75" t="s">
        <v>20</v>
      </c>
      <c r="E341" s="18" t="s">
        <v>587</v>
      </c>
      <c r="F341" s="30">
        <f>12015*1.07</f>
        <v>12856.050000000001</v>
      </c>
      <c r="G341" s="31">
        <v>44519</v>
      </c>
      <c r="H341" s="155" t="s">
        <v>588</v>
      </c>
      <c r="I341" s="27">
        <v>1</v>
      </c>
    </row>
    <row r="342" spans="2:9" ht="21.75" customHeight="1" x14ac:dyDescent="0.55000000000000004">
      <c r="B342" s="32"/>
      <c r="C342" s="43"/>
      <c r="D342" s="34"/>
      <c r="E342" s="13"/>
      <c r="F342" s="35"/>
      <c r="G342" s="66"/>
      <c r="H342" s="153"/>
      <c r="I342" s="32"/>
    </row>
    <row r="343" spans="2:9" ht="21.75" customHeight="1" x14ac:dyDescent="0.55000000000000004">
      <c r="B343" s="27">
        <v>169</v>
      </c>
      <c r="C343" s="58" t="s">
        <v>73</v>
      </c>
      <c r="D343" s="40" t="s">
        <v>20</v>
      </c>
      <c r="E343" s="18" t="s">
        <v>1046</v>
      </c>
      <c r="F343" s="30">
        <f>42750*1.07</f>
        <v>45742.5</v>
      </c>
      <c r="G343" s="31">
        <v>44519</v>
      </c>
      <c r="H343" s="155" t="s">
        <v>589</v>
      </c>
      <c r="I343" s="27">
        <v>1</v>
      </c>
    </row>
    <row r="344" spans="2:9" ht="21.75" customHeight="1" x14ac:dyDescent="0.55000000000000004">
      <c r="B344" s="32"/>
      <c r="C344" s="43"/>
      <c r="D344" s="34"/>
      <c r="E344" s="13" t="s">
        <v>590</v>
      </c>
      <c r="F344" s="66"/>
      <c r="G344" s="66"/>
      <c r="H344" s="153"/>
      <c r="I344" s="32"/>
    </row>
    <row r="345" spans="2:9" ht="21.75" customHeight="1" x14ac:dyDescent="0.55000000000000004">
      <c r="B345" s="27">
        <v>170</v>
      </c>
      <c r="C345" s="44" t="s">
        <v>44</v>
      </c>
      <c r="D345" s="40" t="s">
        <v>8</v>
      </c>
      <c r="E345" s="18" t="s">
        <v>1045</v>
      </c>
      <c r="F345" s="30">
        <f>3000*1.07</f>
        <v>3210</v>
      </c>
      <c r="G345" s="31">
        <v>44519</v>
      </c>
      <c r="H345" s="155" t="s">
        <v>1034</v>
      </c>
      <c r="I345" s="27">
        <v>1</v>
      </c>
    </row>
    <row r="346" spans="2:9" ht="21.75" customHeight="1" x14ac:dyDescent="0.55000000000000004">
      <c r="B346" s="32"/>
      <c r="C346" s="43"/>
      <c r="D346" s="34"/>
      <c r="E346" s="13"/>
      <c r="F346" s="66"/>
      <c r="G346" s="66"/>
      <c r="H346" s="153"/>
      <c r="I346" s="32"/>
    </row>
    <row r="347" spans="2:9" ht="21.75" customHeight="1" x14ac:dyDescent="0.55000000000000004">
      <c r="B347" s="27">
        <v>171</v>
      </c>
      <c r="C347" s="72" t="s">
        <v>384</v>
      </c>
      <c r="D347" s="77" t="s">
        <v>83</v>
      </c>
      <c r="E347" s="18" t="s">
        <v>591</v>
      </c>
      <c r="F347" s="30">
        <f>75000*1.07</f>
        <v>80250</v>
      </c>
      <c r="G347" s="31">
        <v>44522</v>
      </c>
      <c r="H347" s="155" t="s">
        <v>592</v>
      </c>
      <c r="I347" s="27">
        <v>1</v>
      </c>
    </row>
    <row r="348" spans="2:9" ht="21.75" customHeight="1" x14ac:dyDescent="0.55000000000000004">
      <c r="B348" s="32"/>
      <c r="C348" s="32"/>
      <c r="D348" s="37"/>
      <c r="E348" s="13"/>
      <c r="F348" s="66"/>
      <c r="G348" s="66"/>
      <c r="H348" s="153"/>
      <c r="I348" s="32"/>
    </row>
    <row r="349" spans="2:9" ht="21.75" customHeight="1" x14ac:dyDescent="0.55000000000000004">
      <c r="B349" s="27">
        <v>172</v>
      </c>
      <c r="C349" s="72" t="s">
        <v>593</v>
      </c>
      <c r="D349" s="77" t="s">
        <v>1050</v>
      </c>
      <c r="E349" s="18" t="s">
        <v>594</v>
      </c>
      <c r="F349" s="30">
        <f>19584*1.07</f>
        <v>20954.88</v>
      </c>
      <c r="G349" s="31">
        <v>44522</v>
      </c>
      <c r="H349" s="155" t="s">
        <v>595</v>
      </c>
      <c r="I349" s="27">
        <v>1</v>
      </c>
    </row>
    <row r="350" spans="2:9" ht="21.75" customHeight="1" x14ac:dyDescent="0.55000000000000004">
      <c r="B350" s="32"/>
      <c r="C350" s="32"/>
      <c r="D350" s="37" t="s">
        <v>1049</v>
      </c>
      <c r="E350" s="13"/>
      <c r="F350" s="66"/>
      <c r="G350" s="66"/>
      <c r="H350" s="153"/>
      <c r="I350" s="32"/>
    </row>
    <row r="351" spans="2:9" ht="21.75" customHeight="1" x14ac:dyDescent="0.55000000000000004">
      <c r="B351" s="27">
        <v>173</v>
      </c>
      <c r="C351" s="72" t="s">
        <v>596</v>
      </c>
      <c r="D351" s="77" t="s">
        <v>82</v>
      </c>
      <c r="E351" s="18" t="s">
        <v>597</v>
      </c>
      <c r="F351" s="30">
        <f>10000*1.07</f>
        <v>10700</v>
      </c>
      <c r="G351" s="31">
        <v>44522</v>
      </c>
      <c r="H351" s="155" t="s">
        <v>598</v>
      </c>
      <c r="I351" s="27">
        <v>1</v>
      </c>
    </row>
    <row r="352" spans="2:9" ht="21.75" customHeight="1" x14ac:dyDescent="0.55000000000000004">
      <c r="B352" s="32"/>
      <c r="C352" s="32"/>
      <c r="D352" s="37"/>
      <c r="E352" s="13"/>
      <c r="F352" s="66"/>
      <c r="G352" s="66"/>
      <c r="H352" s="153"/>
      <c r="I352" s="32"/>
    </row>
    <row r="353" spans="2:9" ht="21.75" customHeight="1" x14ac:dyDescent="0.55000000000000004">
      <c r="B353" s="27">
        <v>174</v>
      </c>
      <c r="C353" s="72" t="s">
        <v>62</v>
      </c>
      <c r="D353" s="77" t="s">
        <v>24</v>
      </c>
      <c r="E353" s="18" t="s">
        <v>1051</v>
      </c>
      <c r="F353" s="30">
        <f>65800*1.07</f>
        <v>70406</v>
      </c>
      <c r="G353" s="31">
        <v>44522</v>
      </c>
      <c r="H353" s="156" t="s">
        <v>599</v>
      </c>
      <c r="I353" s="27">
        <v>1</v>
      </c>
    </row>
    <row r="354" spans="2:9" ht="21.75" customHeight="1" x14ac:dyDescent="0.55000000000000004">
      <c r="B354" s="32"/>
      <c r="C354" s="70"/>
      <c r="D354" s="59" t="s">
        <v>107</v>
      </c>
      <c r="E354" s="86" t="s">
        <v>324</v>
      </c>
      <c r="F354" s="89"/>
      <c r="G354" s="89"/>
      <c r="H354" s="156"/>
      <c r="I354" s="32"/>
    </row>
    <row r="355" spans="2:9" ht="21.75" customHeight="1" x14ac:dyDescent="0.55000000000000004">
      <c r="B355" s="27">
        <v>175</v>
      </c>
      <c r="C355" s="72" t="s">
        <v>464</v>
      </c>
      <c r="D355" s="45" t="s">
        <v>87</v>
      </c>
      <c r="E355" s="18" t="s">
        <v>600</v>
      </c>
      <c r="F355" s="30">
        <f>29200*1.07</f>
        <v>31244</v>
      </c>
      <c r="G355" s="31">
        <v>44522</v>
      </c>
      <c r="H355" s="155" t="s">
        <v>601</v>
      </c>
      <c r="I355" s="27">
        <v>1</v>
      </c>
    </row>
    <row r="356" spans="2:9" ht="21.75" customHeight="1" x14ac:dyDescent="0.55000000000000004">
      <c r="B356" s="32"/>
      <c r="C356" s="32"/>
      <c r="D356" s="37"/>
      <c r="E356" s="13" t="s">
        <v>602</v>
      </c>
      <c r="F356" s="89"/>
      <c r="G356" s="66"/>
      <c r="H356" s="153"/>
      <c r="I356" s="32"/>
    </row>
    <row r="357" spans="2:9" ht="21.75" customHeight="1" x14ac:dyDescent="0.55000000000000004">
      <c r="B357" s="27">
        <v>176</v>
      </c>
      <c r="C357" s="136" t="s">
        <v>1036</v>
      </c>
      <c r="D357" s="59" t="s">
        <v>1039</v>
      </c>
      <c r="E357" s="38" t="s">
        <v>1041</v>
      </c>
      <c r="F357" s="217">
        <v>21828</v>
      </c>
      <c r="G357" s="31">
        <v>44522</v>
      </c>
      <c r="H357" s="154">
        <v>2105650002</v>
      </c>
      <c r="I357" s="70">
        <v>1</v>
      </c>
    </row>
    <row r="358" spans="2:9" ht="21.75" customHeight="1" x14ac:dyDescent="0.55000000000000004">
      <c r="B358" s="32"/>
      <c r="C358" s="70"/>
      <c r="D358" s="59"/>
      <c r="E358" s="38" t="s">
        <v>1040</v>
      </c>
      <c r="F358" s="66"/>
      <c r="G358" s="66"/>
      <c r="H358" s="154"/>
      <c r="I358" s="70"/>
    </row>
    <row r="359" spans="2:9" ht="21.75" customHeight="1" x14ac:dyDescent="0.55000000000000004">
      <c r="B359" s="27">
        <v>177</v>
      </c>
      <c r="C359" s="72" t="s">
        <v>464</v>
      </c>
      <c r="D359" s="45" t="s">
        <v>87</v>
      </c>
      <c r="E359" s="18" t="s">
        <v>603</v>
      </c>
      <c r="F359" s="30">
        <f>19000*1.07</f>
        <v>20330</v>
      </c>
      <c r="G359" s="31">
        <v>44522</v>
      </c>
      <c r="H359" s="155" t="s">
        <v>604</v>
      </c>
      <c r="I359" s="27">
        <v>1</v>
      </c>
    </row>
    <row r="360" spans="2:9" ht="21.75" customHeight="1" x14ac:dyDescent="0.55000000000000004">
      <c r="B360" s="32"/>
      <c r="C360" s="32"/>
      <c r="D360" s="37"/>
      <c r="E360" s="86" t="s">
        <v>324</v>
      </c>
      <c r="F360" s="89"/>
      <c r="G360" s="89"/>
      <c r="H360" s="153"/>
      <c r="I360" s="32"/>
    </row>
    <row r="361" spans="2:9" ht="21.75" customHeight="1" x14ac:dyDescent="0.55000000000000004">
      <c r="B361" s="27">
        <v>178</v>
      </c>
      <c r="C361" s="44" t="s">
        <v>67</v>
      </c>
      <c r="D361" s="45" t="s">
        <v>23</v>
      </c>
      <c r="E361" s="18" t="s">
        <v>605</v>
      </c>
      <c r="F361" s="30">
        <f>12000*1.07</f>
        <v>12840</v>
      </c>
      <c r="G361" s="31">
        <v>44523</v>
      </c>
      <c r="H361" s="155" t="s">
        <v>606</v>
      </c>
      <c r="I361" s="27">
        <v>1</v>
      </c>
    </row>
    <row r="362" spans="2:9" ht="21.75" customHeight="1" x14ac:dyDescent="0.55000000000000004">
      <c r="B362" s="32"/>
      <c r="C362" s="43"/>
      <c r="D362" s="37"/>
      <c r="E362" s="13"/>
      <c r="F362" s="89"/>
      <c r="G362" s="89"/>
      <c r="H362" s="153"/>
      <c r="I362" s="32"/>
    </row>
    <row r="363" spans="2:9" ht="21.75" customHeight="1" x14ac:dyDescent="0.55000000000000004">
      <c r="B363" s="27">
        <v>179</v>
      </c>
      <c r="C363" s="44" t="s">
        <v>121</v>
      </c>
      <c r="D363" s="45" t="s">
        <v>290</v>
      </c>
      <c r="E363" s="18" t="s">
        <v>607</v>
      </c>
      <c r="F363" s="30">
        <f>22910*1.07</f>
        <v>24513.7</v>
      </c>
      <c r="G363" s="31">
        <v>44523</v>
      </c>
      <c r="H363" s="155" t="s">
        <v>608</v>
      </c>
      <c r="I363" s="27">
        <v>1</v>
      </c>
    </row>
    <row r="364" spans="2:9" ht="21.75" customHeight="1" x14ac:dyDescent="0.55000000000000004">
      <c r="B364" s="32"/>
      <c r="C364" s="43"/>
      <c r="D364" s="37"/>
      <c r="E364" s="86" t="s">
        <v>324</v>
      </c>
      <c r="F364" s="66"/>
      <c r="G364" s="66"/>
      <c r="H364" s="153"/>
      <c r="I364" s="32"/>
    </row>
    <row r="365" spans="2:9" ht="25.5" customHeight="1" x14ac:dyDescent="0.55000000000000004">
      <c r="B365" s="27">
        <v>180</v>
      </c>
      <c r="C365" s="72" t="s">
        <v>384</v>
      </c>
      <c r="D365" s="45" t="s">
        <v>10</v>
      </c>
      <c r="E365" s="18" t="s">
        <v>609</v>
      </c>
      <c r="F365" s="30">
        <f>84250*1.07</f>
        <v>90147.5</v>
      </c>
      <c r="G365" s="31">
        <v>44524</v>
      </c>
      <c r="H365" s="155" t="s">
        <v>610</v>
      </c>
      <c r="I365" s="27">
        <v>1</v>
      </c>
    </row>
    <row r="366" spans="2:9" ht="22.5" customHeight="1" x14ac:dyDescent="0.55000000000000004">
      <c r="B366" s="32"/>
      <c r="C366" s="32"/>
      <c r="D366" s="37"/>
      <c r="E366" s="86" t="s">
        <v>324</v>
      </c>
      <c r="F366" s="66"/>
      <c r="G366" s="66"/>
      <c r="H366" s="153"/>
      <c r="I366" s="32"/>
    </row>
    <row r="367" spans="2:9" ht="25.5" customHeight="1" x14ac:dyDescent="0.55000000000000004">
      <c r="B367" s="39">
        <v>181</v>
      </c>
      <c r="C367" s="72" t="s">
        <v>43</v>
      </c>
      <c r="D367" s="45" t="s">
        <v>6</v>
      </c>
      <c r="E367" s="18" t="s">
        <v>1054</v>
      </c>
      <c r="F367" s="30">
        <f>80000*1.07</f>
        <v>85600</v>
      </c>
      <c r="G367" s="31">
        <v>44524</v>
      </c>
      <c r="H367" s="155" t="s">
        <v>611</v>
      </c>
      <c r="I367" s="27">
        <v>1</v>
      </c>
    </row>
    <row r="368" spans="2:9" ht="24.75" customHeight="1" x14ac:dyDescent="0.55000000000000004">
      <c r="B368" s="41"/>
      <c r="C368" s="32"/>
      <c r="D368" s="37"/>
      <c r="E368" s="13"/>
      <c r="F368" s="66"/>
      <c r="G368" s="66"/>
      <c r="H368" s="153"/>
      <c r="I368" s="32"/>
    </row>
    <row r="369" spans="2:9" ht="22.5" customHeight="1" x14ac:dyDescent="0.55000000000000004">
      <c r="B369" s="39">
        <v>182</v>
      </c>
      <c r="C369" s="15" t="s">
        <v>45</v>
      </c>
      <c r="D369" s="52" t="s">
        <v>115</v>
      </c>
      <c r="E369" s="12" t="s">
        <v>1055</v>
      </c>
      <c r="F369" s="30">
        <f>73560*1.07</f>
        <v>78709.200000000012</v>
      </c>
      <c r="G369" s="31">
        <v>44524</v>
      </c>
      <c r="H369" s="155" t="s">
        <v>612</v>
      </c>
      <c r="I369" s="27">
        <v>1</v>
      </c>
    </row>
    <row r="370" spans="2:9" ht="22.5" customHeight="1" x14ac:dyDescent="0.55000000000000004">
      <c r="B370" s="41"/>
      <c r="C370" s="33"/>
      <c r="D370" s="34"/>
      <c r="E370" s="96" t="s">
        <v>613</v>
      </c>
      <c r="F370" s="66"/>
      <c r="G370" s="66"/>
      <c r="H370" s="153"/>
      <c r="I370" s="32"/>
    </row>
    <row r="371" spans="2:9" ht="28.5" customHeight="1" x14ac:dyDescent="0.55000000000000004">
      <c r="B371" s="39">
        <v>183</v>
      </c>
      <c r="C371" s="72" t="s">
        <v>614</v>
      </c>
      <c r="D371" s="45" t="s">
        <v>615</v>
      </c>
      <c r="E371" s="64" t="s">
        <v>616</v>
      </c>
      <c r="F371" s="30">
        <f>51600*1.07</f>
        <v>55212</v>
      </c>
      <c r="G371" s="31">
        <v>44524</v>
      </c>
      <c r="H371" s="159" t="s">
        <v>617</v>
      </c>
      <c r="I371" s="27">
        <v>1</v>
      </c>
    </row>
    <row r="372" spans="2:9" ht="22.5" customHeight="1" x14ac:dyDescent="0.55000000000000004">
      <c r="B372" s="41"/>
      <c r="C372" s="32"/>
      <c r="D372" s="37"/>
      <c r="E372" s="65" t="s">
        <v>618</v>
      </c>
      <c r="F372" s="66"/>
      <c r="G372" s="66"/>
      <c r="H372" s="160"/>
      <c r="I372" s="32"/>
    </row>
    <row r="373" spans="2:9" ht="28.5" customHeight="1" x14ac:dyDescent="0.55000000000000004">
      <c r="B373" s="39">
        <v>184</v>
      </c>
      <c r="C373" s="72" t="s">
        <v>619</v>
      </c>
      <c r="D373" s="45" t="s">
        <v>80</v>
      </c>
      <c r="E373" s="18" t="s">
        <v>620</v>
      </c>
      <c r="F373" s="30">
        <f>8390*1.07</f>
        <v>8977.3000000000011</v>
      </c>
      <c r="G373" s="31">
        <v>44524</v>
      </c>
      <c r="H373" s="167" t="s">
        <v>984</v>
      </c>
      <c r="I373" s="27">
        <v>1</v>
      </c>
    </row>
    <row r="374" spans="2:9" ht="22.5" customHeight="1" x14ac:dyDescent="0.55000000000000004">
      <c r="B374" s="41"/>
      <c r="C374" s="32"/>
      <c r="D374" s="37"/>
      <c r="E374" s="86" t="s">
        <v>621</v>
      </c>
      <c r="F374" s="66"/>
      <c r="G374" s="66"/>
      <c r="H374" s="165"/>
      <c r="I374" s="32"/>
    </row>
    <row r="375" spans="2:9" ht="27.75" customHeight="1" x14ac:dyDescent="0.55000000000000004">
      <c r="B375" s="39">
        <v>185</v>
      </c>
      <c r="C375" s="72" t="s">
        <v>92</v>
      </c>
      <c r="D375" s="45" t="s">
        <v>118</v>
      </c>
      <c r="E375" s="18" t="s">
        <v>622</v>
      </c>
      <c r="F375" s="30">
        <f>11000*1.07</f>
        <v>11770</v>
      </c>
      <c r="G375" s="31">
        <v>44524</v>
      </c>
      <c r="H375" s="155" t="s">
        <v>623</v>
      </c>
      <c r="I375" s="27">
        <v>1</v>
      </c>
    </row>
    <row r="376" spans="2:9" ht="22.5" customHeight="1" x14ac:dyDescent="0.55000000000000004">
      <c r="B376" s="41"/>
      <c r="C376" s="32"/>
      <c r="D376" s="37"/>
      <c r="E376" s="13" t="s">
        <v>624</v>
      </c>
      <c r="F376" s="66"/>
      <c r="G376" s="66"/>
      <c r="H376" s="154"/>
      <c r="I376" s="32"/>
    </row>
    <row r="377" spans="2:9" ht="22.5" customHeight="1" x14ac:dyDescent="0.55000000000000004">
      <c r="B377" s="39">
        <v>186</v>
      </c>
      <c r="C377" s="44" t="s">
        <v>121</v>
      </c>
      <c r="D377" s="45" t="s">
        <v>122</v>
      </c>
      <c r="E377" s="64" t="s">
        <v>625</v>
      </c>
      <c r="F377" s="30">
        <f>40000*1.07</f>
        <v>42800</v>
      </c>
      <c r="G377" s="97">
        <v>44524</v>
      </c>
      <c r="H377" s="155" t="s">
        <v>626</v>
      </c>
      <c r="I377" s="27">
        <v>1</v>
      </c>
    </row>
    <row r="378" spans="2:9" ht="22.5" customHeight="1" x14ac:dyDescent="0.55000000000000004">
      <c r="B378" s="41"/>
      <c r="C378" s="90"/>
      <c r="D378" s="59"/>
      <c r="E378" s="84" t="s">
        <v>627</v>
      </c>
      <c r="F378" s="89"/>
      <c r="G378" s="98"/>
      <c r="H378" s="154"/>
      <c r="I378" s="70"/>
    </row>
    <row r="379" spans="2:9" ht="22.5" customHeight="1" x14ac:dyDescent="0.55000000000000004">
      <c r="B379" s="39">
        <v>187</v>
      </c>
      <c r="C379" s="44" t="s">
        <v>91</v>
      </c>
      <c r="D379" s="52" t="s">
        <v>86</v>
      </c>
      <c r="E379" s="18" t="s">
        <v>628</v>
      </c>
      <c r="F379" s="99">
        <f>86100*1.07</f>
        <v>92127</v>
      </c>
      <c r="G379" s="31">
        <v>44524</v>
      </c>
      <c r="H379" s="159" t="s">
        <v>629</v>
      </c>
      <c r="I379" s="27">
        <v>1</v>
      </c>
    </row>
    <row r="380" spans="2:9" ht="22.5" customHeight="1" x14ac:dyDescent="0.55000000000000004">
      <c r="B380" s="41"/>
      <c r="C380" s="43"/>
      <c r="D380" s="34"/>
      <c r="E380" s="13" t="s">
        <v>630</v>
      </c>
      <c r="F380" s="100"/>
      <c r="G380" s="66"/>
      <c r="H380" s="160"/>
      <c r="I380" s="32"/>
    </row>
    <row r="381" spans="2:9" ht="22.5" customHeight="1" x14ac:dyDescent="0.55000000000000004">
      <c r="B381" s="39">
        <v>188</v>
      </c>
      <c r="C381" s="44" t="s">
        <v>41</v>
      </c>
      <c r="D381" s="52" t="s">
        <v>5</v>
      </c>
      <c r="E381" s="62" t="s">
        <v>631</v>
      </c>
      <c r="F381" s="30">
        <f>45860*1.07</f>
        <v>49070.200000000004</v>
      </c>
      <c r="G381" s="97">
        <v>44524</v>
      </c>
      <c r="H381" s="167" t="s">
        <v>632</v>
      </c>
      <c r="I381" s="27">
        <v>1</v>
      </c>
    </row>
    <row r="382" spans="2:9" ht="22.5" customHeight="1" x14ac:dyDescent="0.55000000000000004">
      <c r="B382" s="41"/>
      <c r="C382" s="43"/>
      <c r="D382" s="34"/>
      <c r="E382" s="96" t="s">
        <v>357</v>
      </c>
      <c r="F382" s="66"/>
      <c r="G382" s="105"/>
      <c r="H382" s="165"/>
      <c r="I382" s="32"/>
    </row>
    <row r="383" spans="2:9" ht="22.5" customHeight="1" x14ac:dyDescent="0.55000000000000004">
      <c r="B383" s="27">
        <v>189</v>
      </c>
      <c r="C383" s="204" t="s">
        <v>490</v>
      </c>
      <c r="D383" s="52" t="s">
        <v>633</v>
      </c>
      <c r="E383" s="62" t="s">
        <v>634</v>
      </c>
      <c r="F383" s="30">
        <f>50500*1.07</f>
        <v>54035</v>
      </c>
      <c r="G383" s="101">
        <v>44524</v>
      </c>
      <c r="H383" s="155" t="s">
        <v>635</v>
      </c>
      <c r="I383" s="27">
        <v>1</v>
      </c>
    </row>
    <row r="384" spans="2:9" ht="21" customHeight="1" x14ac:dyDescent="0.55000000000000004">
      <c r="B384" s="70"/>
      <c r="C384" s="102"/>
      <c r="D384" s="63"/>
      <c r="E384" s="60" t="s">
        <v>636</v>
      </c>
      <c r="F384" s="89"/>
      <c r="G384" s="67"/>
      <c r="H384" s="154"/>
      <c r="I384" s="103"/>
    </row>
    <row r="385" spans="2:9" ht="22.5" customHeight="1" x14ac:dyDescent="0.55000000000000004">
      <c r="B385" s="32"/>
      <c r="C385" s="47"/>
      <c r="D385" s="34"/>
      <c r="E385" s="57" t="s">
        <v>637</v>
      </c>
      <c r="F385" s="66"/>
      <c r="G385" s="100"/>
      <c r="H385" s="153"/>
      <c r="I385" s="104"/>
    </row>
    <row r="386" spans="2:9" ht="22.5" customHeight="1" x14ac:dyDescent="0.55000000000000004">
      <c r="B386" s="70">
        <v>190</v>
      </c>
      <c r="C386" s="72" t="s">
        <v>638</v>
      </c>
      <c r="D386" s="45" t="s">
        <v>639</v>
      </c>
      <c r="E386" s="18" t="s">
        <v>640</v>
      </c>
      <c r="F386" s="30">
        <f>8940*1.07</f>
        <v>9565.8000000000011</v>
      </c>
      <c r="G386" s="97">
        <v>44524</v>
      </c>
      <c r="H386" s="155" t="s">
        <v>641</v>
      </c>
      <c r="I386" s="27">
        <v>1</v>
      </c>
    </row>
    <row r="387" spans="2:9" ht="22.5" customHeight="1" x14ac:dyDescent="0.55000000000000004">
      <c r="B387" s="32"/>
      <c r="C387" s="32"/>
      <c r="D387" s="37"/>
      <c r="E387" s="86" t="s">
        <v>332</v>
      </c>
      <c r="F387" s="66"/>
      <c r="G387" s="105"/>
      <c r="H387" s="153"/>
      <c r="I387" s="66"/>
    </row>
    <row r="388" spans="2:9" ht="22.5" customHeight="1" x14ac:dyDescent="0.55000000000000004">
      <c r="B388" s="70">
        <v>191</v>
      </c>
      <c r="C388" s="44" t="s">
        <v>41</v>
      </c>
      <c r="D388" s="52" t="s">
        <v>5</v>
      </c>
      <c r="E388" s="18" t="s">
        <v>642</v>
      </c>
      <c r="F388" s="30">
        <f>44500*1.07</f>
        <v>47615</v>
      </c>
      <c r="G388" s="97">
        <v>44524</v>
      </c>
      <c r="H388" s="155" t="s">
        <v>643</v>
      </c>
      <c r="I388" s="27">
        <v>1</v>
      </c>
    </row>
    <row r="389" spans="2:9" ht="18" customHeight="1" x14ac:dyDescent="0.55000000000000004">
      <c r="B389" s="32"/>
      <c r="C389" s="43"/>
      <c r="D389" s="50"/>
      <c r="E389" s="13"/>
      <c r="F389" s="66"/>
      <c r="G389" s="105"/>
      <c r="H389" s="153"/>
      <c r="I389" s="66"/>
    </row>
    <row r="390" spans="2:9" ht="22.5" customHeight="1" x14ac:dyDescent="0.55000000000000004">
      <c r="B390" s="70">
        <v>192</v>
      </c>
      <c r="C390" s="106" t="s">
        <v>644</v>
      </c>
      <c r="D390" s="52" t="s">
        <v>645</v>
      </c>
      <c r="E390" s="18" t="s">
        <v>646</v>
      </c>
      <c r="F390" s="30">
        <f>74000*1.07</f>
        <v>79180</v>
      </c>
      <c r="G390" s="97">
        <v>44525</v>
      </c>
      <c r="H390" s="155" t="s">
        <v>647</v>
      </c>
      <c r="I390" s="27">
        <v>1</v>
      </c>
    </row>
    <row r="391" spans="2:9" ht="18" customHeight="1" x14ac:dyDescent="0.55000000000000004">
      <c r="B391" s="32"/>
      <c r="C391" s="107"/>
      <c r="D391" s="34"/>
      <c r="E391" s="13"/>
      <c r="F391" s="66"/>
      <c r="G391" s="105"/>
      <c r="H391" s="153"/>
      <c r="I391" s="66"/>
    </row>
    <row r="392" spans="2:9" ht="22.5" customHeight="1" x14ac:dyDescent="0.55000000000000004">
      <c r="B392" s="70">
        <v>193</v>
      </c>
      <c r="C392" s="7" t="s">
        <v>73</v>
      </c>
      <c r="D392" s="52" t="s">
        <v>47</v>
      </c>
      <c r="E392" s="18" t="s">
        <v>648</v>
      </c>
      <c r="F392" s="30">
        <f>3700*1.07</f>
        <v>3959.0000000000005</v>
      </c>
      <c r="G392" s="97">
        <v>44525</v>
      </c>
      <c r="H392" s="155" t="s">
        <v>649</v>
      </c>
      <c r="I392" s="27">
        <v>1</v>
      </c>
    </row>
    <row r="393" spans="2:9" ht="16.5" customHeight="1" x14ac:dyDescent="0.55000000000000004">
      <c r="B393" s="32"/>
      <c r="C393" s="33"/>
      <c r="D393" s="50"/>
      <c r="E393" s="13"/>
      <c r="F393" s="66"/>
      <c r="G393" s="105"/>
      <c r="H393" s="153"/>
      <c r="I393" s="66"/>
    </row>
    <row r="394" spans="2:9" ht="22.5" customHeight="1" x14ac:dyDescent="0.55000000000000004">
      <c r="B394" s="70">
        <v>194</v>
      </c>
      <c r="C394" s="58" t="s">
        <v>73</v>
      </c>
      <c r="D394" s="52" t="s">
        <v>20</v>
      </c>
      <c r="E394" s="18" t="s">
        <v>650</v>
      </c>
      <c r="F394" s="30">
        <f>79650*1.07</f>
        <v>85225.5</v>
      </c>
      <c r="G394" s="97">
        <v>44525</v>
      </c>
      <c r="H394" s="155" t="s">
        <v>651</v>
      </c>
      <c r="I394" s="27">
        <v>1</v>
      </c>
    </row>
    <row r="395" spans="2:9" ht="22.5" customHeight="1" x14ac:dyDescent="0.55000000000000004">
      <c r="B395" s="32"/>
      <c r="C395" s="43"/>
      <c r="D395" s="50"/>
      <c r="E395" s="13" t="s">
        <v>652</v>
      </c>
      <c r="F395" s="66"/>
      <c r="G395" s="105"/>
      <c r="H395" s="153"/>
      <c r="I395" s="66"/>
    </row>
    <row r="396" spans="2:9" ht="22.5" customHeight="1" x14ac:dyDescent="0.55000000000000004">
      <c r="B396" s="70">
        <v>195</v>
      </c>
      <c r="C396" s="72" t="s">
        <v>534</v>
      </c>
      <c r="D396" s="52" t="s">
        <v>653</v>
      </c>
      <c r="E396" s="18" t="s">
        <v>654</v>
      </c>
      <c r="F396" s="30">
        <f>48220*1.07</f>
        <v>51595.4</v>
      </c>
      <c r="G396" s="97">
        <v>44526</v>
      </c>
      <c r="H396" s="155" t="s">
        <v>655</v>
      </c>
      <c r="I396" s="27">
        <v>1</v>
      </c>
    </row>
    <row r="397" spans="2:9" ht="22.5" customHeight="1" x14ac:dyDescent="0.55000000000000004">
      <c r="B397" s="32"/>
      <c r="C397" s="32"/>
      <c r="D397" s="50" t="s">
        <v>107</v>
      </c>
      <c r="E397" s="86" t="s">
        <v>656</v>
      </c>
      <c r="F397" s="66"/>
      <c r="G397" s="105"/>
      <c r="H397" s="153"/>
      <c r="I397" s="66"/>
    </row>
    <row r="398" spans="2:9" ht="22.5" customHeight="1" x14ac:dyDescent="0.55000000000000004">
      <c r="B398" s="70">
        <v>196</v>
      </c>
      <c r="C398" s="108" t="s">
        <v>73</v>
      </c>
      <c r="D398" s="52" t="s">
        <v>90</v>
      </c>
      <c r="E398" s="18" t="s">
        <v>657</v>
      </c>
      <c r="F398" s="30">
        <f>10500*1.07</f>
        <v>11235</v>
      </c>
      <c r="G398" s="97">
        <v>44526</v>
      </c>
      <c r="H398" s="155" t="s">
        <v>985</v>
      </c>
      <c r="I398" s="27">
        <v>1</v>
      </c>
    </row>
    <row r="399" spans="2:9" ht="20.25" customHeight="1" x14ac:dyDescent="0.55000000000000004">
      <c r="B399" s="32"/>
      <c r="C399" s="107"/>
      <c r="D399" s="34"/>
      <c r="E399" s="13"/>
      <c r="F399" s="66"/>
      <c r="G399" s="105"/>
      <c r="H399" s="153"/>
      <c r="I399" s="66"/>
    </row>
    <row r="400" spans="2:9" ht="22.5" customHeight="1" x14ac:dyDescent="0.55000000000000004">
      <c r="B400" s="70">
        <v>197</v>
      </c>
      <c r="C400" s="44" t="s">
        <v>44</v>
      </c>
      <c r="D400" s="45" t="s">
        <v>19</v>
      </c>
      <c r="E400" s="18" t="s">
        <v>658</v>
      </c>
      <c r="F400" s="30">
        <f>8400*1.07</f>
        <v>8988</v>
      </c>
      <c r="G400" s="97">
        <v>44526</v>
      </c>
      <c r="H400" s="155" t="s">
        <v>659</v>
      </c>
      <c r="I400" s="27">
        <v>1</v>
      </c>
    </row>
    <row r="401" spans="2:9" ht="22.5" customHeight="1" x14ac:dyDescent="0.55000000000000004">
      <c r="B401" s="32"/>
      <c r="C401" s="43"/>
      <c r="D401" s="37"/>
      <c r="E401" s="86" t="s">
        <v>324</v>
      </c>
      <c r="F401" s="66"/>
      <c r="G401" s="105"/>
      <c r="H401" s="162"/>
      <c r="I401" s="66"/>
    </row>
    <row r="402" spans="2:9" ht="22.5" customHeight="1" x14ac:dyDescent="0.55000000000000004">
      <c r="B402" s="70">
        <v>198</v>
      </c>
      <c r="C402" s="106" t="s">
        <v>74</v>
      </c>
      <c r="D402" s="52" t="s">
        <v>31</v>
      </c>
      <c r="E402" s="18" t="s">
        <v>660</v>
      </c>
      <c r="F402" s="30">
        <f>5200*1.07</f>
        <v>5564</v>
      </c>
      <c r="G402" s="97">
        <v>44526</v>
      </c>
      <c r="H402" s="155" t="s">
        <v>661</v>
      </c>
      <c r="I402" s="27">
        <v>1</v>
      </c>
    </row>
    <row r="403" spans="2:9" ht="18" customHeight="1" x14ac:dyDescent="0.55000000000000004">
      <c r="B403" s="32"/>
      <c r="C403" s="109"/>
      <c r="D403" s="34"/>
      <c r="E403" s="13"/>
      <c r="F403" s="66"/>
      <c r="G403" s="105"/>
      <c r="H403" s="153"/>
      <c r="I403" s="66"/>
    </row>
    <row r="404" spans="2:9" ht="22.5" customHeight="1" x14ac:dyDescent="0.55000000000000004">
      <c r="B404" s="70">
        <v>199</v>
      </c>
      <c r="C404" s="44" t="s">
        <v>44</v>
      </c>
      <c r="D404" s="45" t="s">
        <v>26</v>
      </c>
      <c r="E404" s="18" t="s">
        <v>662</v>
      </c>
      <c r="F404" s="30">
        <f>37500*1.07</f>
        <v>40125</v>
      </c>
      <c r="G404" s="97">
        <v>44529</v>
      </c>
      <c r="H404" s="155" t="s">
        <v>663</v>
      </c>
      <c r="I404" s="27">
        <v>1</v>
      </c>
    </row>
    <row r="405" spans="2:9" ht="22.5" customHeight="1" x14ac:dyDescent="0.55000000000000004">
      <c r="B405" s="32"/>
      <c r="C405" s="43"/>
      <c r="D405" s="37"/>
      <c r="E405" s="86" t="s">
        <v>357</v>
      </c>
      <c r="F405" s="66"/>
      <c r="G405" s="105"/>
      <c r="H405" s="153"/>
      <c r="I405" s="66"/>
    </row>
    <row r="406" spans="2:9" ht="22.5" customHeight="1" x14ac:dyDescent="0.55000000000000004">
      <c r="B406" s="70">
        <v>200</v>
      </c>
      <c r="C406" s="72" t="s">
        <v>581</v>
      </c>
      <c r="D406" s="45" t="s">
        <v>664</v>
      </c>
      <c r="E406" s="18" t="s">
        <v>665</v>
      </c>
      <c r="F406" s="30">
        <f>100*1.07</f>
        <v>107</v>
      </c>
      <c r="G406" s="97">
        <v>44529</v>
      </c>
      <c r="H406" s="155" t="s">
        <v>666</v>
      </c>
      <c r="I406" s="27">
        <v>1</v>
      </c>
    </row>
    <row r="407" spans="2:9" ht="18.75" customHeight="1" x14ac:dyDescent="0.55000000000000004">
      <c r="B407" s="32"/>
      <c r="C407" s="32"/>
      <c r="D407" s="37"/>
      <c r="E407" s="110"/>
      <c r="F407" s="66"/>
      <c r="G407" s="105"/>
      <c r="H407" s="153"/>
      <c r="I407" s="66"/>
    </row>
    <row r="408" spans="2:9" ht="22.5" customHeight="1" x14ac:dyDescent="0.55000000000000004">
      <c r="B408" s="70">
        <v>201</v>
      </c>
      <c r="C408" s="15" t="s">
        <v>45</v>
      </c>
      <c r="D408" s="45" t="s">
        <v>9</v>
      </c>
      <c r="E408" s="18" t="s">
        <v>667</v>
      </c>
      <c r="F408" s="92">
        <f>7700*1.07</f>
        <v>8239</v>
      </c>
      <c r="G408" s="97">
        <v>44529</v>
      </c>
      <c r="H408" s="155" t="s">
        <v>668</v>
      </c>
      <c r="I408" s="27">
        <v>1</v>
      </c>
    </row>
    <row r="409" spans="2:9" ht="22.5" customHeight="1" x14ac:dyDescent="0.55000000000000004">
      <c r="B409" s="32"/>
      <c r="C409" s="33"/>
      <c r="D409" s="37"/>
      <c r="E409" s="86" t="s">
        <v>669</v>
      </c>
      <c r="F409" s="111"/>
      <c r="G409" s="105"/>
      <c r="H409" s="153"/>
      <c r="I409" s="66"/>
    </row>
    <row r="410" spans="2:9" ht="22.5" customHeight="1" x14ac:dyDescent="0.55000000000000004">
      <c r="B410" s="70">
        <v>202</v>
      </c>
      <c r="C410" s="44" t="s">
        <v>67</v>
      </c>
      <c r="D410" s="52" t="s">
        <v>21</v>
      </c>
      <c r="E410" s="112" t="s">
        <v>670</v>
      </c>
      <c r="F410" s="30">
        <f>4410*1.07</f>
        <v>4718.7000000000007</v>
      </c>
      <c r="G410" s="97">
        <v>44529</v>
      </c>
      <c r="H410" s="168" t="s">
        <v>671</v>
      </c>
      <c r="I410" s="27">
        <v>1</v>
      </c>
    </row>
    <row r="411" spans="2:9" ht="22.5" customHeight="1" x14ac:dyDescent="0.55000000000000004">
      <c r="B411" s="32"/>
      <c r="C411" s="43"/>
      <c r="D411" s="34"/>
      <c r="E411" s="113" t="s">
        <v>324</v>
      </c>
      <c r="F411" s="66"/>
      <c r="G411" s="105"/>
      <c r="H411" s="169"/>
      <c r="I411" s="66"/>
    </row>
    <row r="412" spans="2:9" ht="22.5" customHeight="1" x14ac:dyDescent="0.55000000000000004">
      <c r="B412" s="70">
        <v>203</v>
      </c>
      <c r="C412" s="72" t="s">
        <v>672</v>
      </c>
      <c r="D412" s="52" t="s">
        <v>116</v>
      </c>
      <c r="E412" s="112" t="s">
        <v>673</v>
      </c>
      <c r="F412" s="30">
        <f>70230*1.07</f>
        <v>75146.100000000006</v>
      </c>
      <c r="G412" s="97">
        <v>44529</v>
      </c>
      <c r="H412" s="168" t="s">
        <v>674</v>
      </c>
      <c r="I412" s="27">
        <v>1</v>
      </c>
    </row>
    <row r="413" spans="2:9" ht="29.25" customHeight="1" x14ac:dyDescent="0.55000000000000004">
      <c r="B413" s="32"/>
      <c r="C413" s="32"/>
      <c r="D413" s="34"/>
      <c r="E413" s="113"/>
      <c r="F413" s="66"/>
      <c r="G413" s="105"/>
      <c r="H413" s="169"/>
      <c r="I413" s="66"/>
    </row>
    <row r="414" spans="2:9" ht="22.5" customHeight="1" x14ac:dyDescent="0.55000000000000004">
      <c r="B414" s="70">
        <v>204</v>
      </c>
      <c r="C414" s="44" t="s">
        <v>67</v>
      </c>
      <c r="D414" s="52" t="s">
        <v>21</v>
      </c>
      <c r="E414" s="112" t="s">
        <v>675</v>
      </c>
      <c r="F414" s="30">
        <f>8500*1.07</f>
        <v>9095</v>
      </c>
      <c r="G414" s="97">
        <v>44529</v>
      </c>
      <c r="H414" s="168" t="s">
        <v>676</v>
      </c>
      <c r="I414" s="27">
        <v>1</v>
      </c>
    </row>
    <row r="415" spans="2:9" ht="22.5" customHeight="1" x14ac:dyDescent="0.55000000000000004">
      <c r="B415" s="32"/>
      <c r="C415" s="43"/>
      <c r="D415" s="34"/>
      <c r="E415" s="113" t="s">
        <v>108</v>
      </c>
      <c r="F415" s="66"/>
      <c r="G415" s="105"/>
      <c r="H415" s="169"/>
      <c r="I415" s="66"/>
    </row>
    <row r="416" spans="2:9" ht="22.5" customHeight="1" x14ac:dyDescent="0.55000000000000004">
      <c r="B416" s="70">
        <v>205</v>
      </c>
      <c r="C416" s="58" t="s">
        <v>42</v>
      </c>
      <c r="D416" s="52" t="s">
        <v>16</v>
      </c>
      <c r="E416" s="112" t="s">
        <v>677</v>
      </c>
      <c r="F416" s="30">
        <f>3000*1.07</f>
        <v>3210</v>
      </c>
      <c r="G416" s="97">
        <v>44529</v>
      </c>
      <c r="H416" s="168" t="s">
        <v>678</v>
      </c>
      <c r="I416" s="27">
        <v>1</v>
      </c>
    </row>
    <row r="417" spans="2:10" ht="20.25" customHeight="1" x14ac:dyDescent="0.55000000000000004">
      <c r="B417" s="32"/>
      <c r="C417" s="43"/>
      <c r="D417" s="34"/>
      <c r="E417" s="113"/>
      <c r="F417" s="66"/>
      <c r="G417" s="105"/>
      <c r="H417" s="169"/>
      <c r="I417" s="66"/>
    </row>
    <row r="418" spans="2:10" ht="19.5" customHeight="1" x14ac:dyDescent="0.55000000000000004">
      <c r="B418" s="27">
        <v>206</v>
      </c>
      <c r="C418" s="72" t="s">
        <v>1036</v>
      </c>
      <c r="D418" s="145" t="s">
        <v>1039</v>
      </c>
      <c r="E418" s="18" t="s">
        <v>1063</v>
      </c>
      <c r="F418" s="234">
        <f>61682.24*1.07</f>
        <v>65999.996800000008</v>
      </c>
      <c r="G418" s="138">
        <v>242856</v>
      </c>
      <c r="H418" s="155" t="s">
        <v>1065</v>
      </c>
      <c r="I418" s="27">
        <v>1</v>
      </c>
    </row>
    <row r="419" spans="2:10" ht="19.5" customHeight="1" x14ac:dyDescent="0.55000000000000004">
      <c r="B419" s="32"/>
      <c r="C419" s="32"/>
      <c r="D419" s="104"/>
      <c r="E419" s="13" t="s">
        <v>1064</v>
      </c>
      <c r="F419" s="66"/>
      <c r="G419" s="32"/>
      <c r="H419" s="153"/>
      <c r="I419" s="32"/>
    </row>
    <row r="420" spans="2:10" ht="22.5" customHeight="1" x14ac:dyDescent="0.55000000000000004">
      <c r="B420" s="70">
        <v>207</v>
      </c>
      <c r="C420" s="72" t="s">
        <v>581</v>
      </c>
      <c r="D420" s="52" t="s">
        <v>679</v>
      </c>
      <c r="E420" s="112" t="s">
        <v>1056</v>
      </c>
      <c r="F420" s="30">
        <f>4500*1.07</f>
        <v>4815</v>
      </c>
      <c r="G420" s="97">
        <v>44530</v>
      </c>
      <c r="H420" s="168" t="s">
        <v>680</v>
      </c>
      <c r="I420" s="27">
        <v>1</v>
      </c>
    </row>
    <row r="421" spans="2:10" ht="19.5" customHeight="1" x14ac:dyDescent="0.55000000000000004">
      <c r="B421" s="32"/>
      <c r="C421" s="32"/>
      <c r="D421" s="34"/>
      <c r="E421" s="113"/>
      <c r="F421" s="66"/>
      <c r="G421" s="105"/>
      <c r="H421" s="169"/>
      <c r="I421" s="66"/>
    </row>
    <row r="422" spans="2:10" ht="22.5" customHeight="1" x14ac:dyDescent="0.55000000000000004">
      <c r="B422" s="70">
        <v>208</v>
      </c>
      <c r="C422" s="72" t="s">
        <v>681</v>
      </c>
      <c r="D422" s="52" t="s">
        <v>682</v>
      </c>
      <c r="E422" s="112" t="s">
        <v>683</v>
      </c>
      <c r="F422" s="30">
        <f>48600*1.07</f>
        <v>52002</v>
      </c>
      <c r="G422" s="97">
        <v>44530</v>
      </c>
      <c r="H422" s="168" t="s">
        <v>684</v>
      </c>
      <c r="I422" s="27">
        <v>1</v>
      </c>
    </row>
    <row r="423" spans="2:10" ht="22.5" customHeight="1" x14ac:dyDescent="0.55000000000000004">
      <c r="B423" s="32"/>
      <c r="C423" s="205"/>
      <c r="D423" s="34"/>
      <c r="E423" s="206"/>
      <c r="F423" s="35"/>
      <c r="G423" s="207"/>
      <c r="H423" s="169"/>
      <c r="I423" s="32"/>
    </row>
    <row r="424" spans="2:10" s="183" customFormat="1" ht="22.5" customHeight="1" x14ac:dyDescent="0.55000000000000004">
      <c r="B424" s="134">
        <v>209</v>
      </c>
      <c r="C424" s="114" t="s">
        <v>685</v>
      </c>
      <c r="D424" s="195" t="s">
        <v>79</v>
      </c>
      <c r="E424" s="196" t="s">
        <v>686</v>
      </c>
      <c r="F424" s="185">
        <f>82000*1.07</f>
        <v>87740</v>
      </c>
      <c r="G424" s="197">
        <v>44530</v>
      </c>
      <c r="H424" s="198" t="s">
        <v>687</v>
      </c>
      <c r="I424" s="134">
        <v>1</v>
      </c>
      <c r="J424" s="235">
        <f>SUM(F127:F424)</f>
        <v>5938461.736800001</v>
      </c>
    </row>
    <row r="425" spans="2:10" s="183" customFormat="1" ht="18.75" customHeight="1" x14ac:dyDescent="0.55000000000000004">
      <c r="B425" s="33"/>
      <c r="C425" s="33"/>
      <c r="D425" s="199"/>
      <c r="E425" s="113"/>
      <c r="F425" s="200"/>
      <c r="G425" s="201"/>
      <c r="H425" s="202"/>
      <c r="I425" s="9"/>
    </row>
    <row r="426" spans="2:10" ht="22.5" customHeight="1" x14ac:dyDescent="0.55000000000000004">
      <c r="B426" s="134">
        <v>210</v>
      </c>
      <c r="C426" s="28" t="s">
        <v>688</v>
      </c>
      <c r="D426" s="2" t="s">
        <v>95</v>
      </c>
      <c r="E426" s="18" t="s">
        <v>689</v>
      </c>
      <c r="F426" s="30">
        <f>20400*1.07</f>
        <v>21828</v>
      </c>
      <c r="G426" s="138">
        <v>242858</v>
      </c>
      <c r="H426" s="151" t="s">
        <v>690</v>
      </c>
      <c r="I426" s="27">
        <v>1</v>
      </c>
    </row>
    <row r="427" spans="2:10" ht="18.75" customHeight="1" x14ac:dyDescent="0.55000000000000004">
      <c r="B427" s="33"/>
      <c r="C427" s="33"/>
      <c r="D427" s="66"/>
      <c r="E427" s="13"/>
      <c r="F427" s="66"/>
      <c r="G427" s="32"/>
      <c r="H427" s="152"/>
      <c r="I427" s="32"/>
    </row>
    <row r="428" spans="2:10" ht="22.5" customHeight="1" x14ac:dyDescent="0.55000000000000004">
      <c r="B428" s="134">
        <v>211</v>
      </c>
      <c r="C428" s="28" t="s">
        <v>75</v>
      </c>
      <c r="D428" s="2" t="s">
        <v>691</v>
      </c>
      <c r="E428" s="18" t="s">
        <v>692</v>
      </c>
      <c r="F428" s="30">
        <f>62418*1.07</f>
        <v>66787.260000000009</v>
      </c>
      <c r="G428" s="138">
        <v>242858</v>
      </c>
      <c r="H428" s="151" t="s">
        <v>693</v>
      </c>
      <c r="I428" s="27">
        <v>1</v>
      </c>
    </row>
    <row r="429" spans="2:10" ht="22.5" customHeight="1" x14ac:dyDescent="0.55000000000000004">
      <c r="B429" s="33"/>
      <c r="C429" s="33"/>
      <c r="D429" s="100"/>
      <c r="E429" s="13" t="s">
        <v>694</v>
      </c>
      <c r="F429" s="66"/>
      <c r="G429" s="32"/>
      <c r="H429" s="153"/>
      <c r="I429" s="32"/>
    </row>
    <row r="430" spans="2:10" ht="22.5" customHeight="1" x14ac:dyDescent="0.55000000000000004">
      <c r="B430" s="134">
        <v>212</v>
      </c>
      <c r="C430" s="15" t="s">
        <v>529</v>
      </c>
      <c r="D430" s="8" t="s">
        <v>695</v>
      </c>
      <c r="E430" s="64" t="s">
        <v>696</v>
      </c>
      <c r="F430" s="30">
        <f>34039.13*1.07</f>
        <v>36421.869099999996</v>
      </c>
      <c r="G430" s="138">
        <v>242858</v>
      </c>
      <c r="H430" s="155" t="s">
        <v>986</v>
      </c>
      <c r="I430" s="46">
        <v>1</v>
      </c>
    </row>
    <row r="431" spans="2:10" ht="22.5" customHeight="1" x14ac:dyDescent="0.55000000000000004">
      <c r="B431" s="33"/>
      <c r="C431" s="33"/>
      <c r="D431" s="66"/>
      <c r="E431" s="65" t="s">
        <v>697</v>
      </c>
      <c r="F431" s="66"/>
      <c r="G431" s="32"/>
      <c r="H431" s="153"/>
      <c r="I431" s="47"/>
    </row>
    <row r="432" spans="2:10" ht="22.5" customHeight="1" x14ac:dyDescent="0.55000000000000004">
      <c r="B432" s="134">
        <v>213</v>
      </c>
      <c r="C432" s="42" t="s">
        <v>698</v>
      </c>
      <c r="D432" s="2" t="s">
        <v>699</v>
      </c>
      <c r="E432" s="18" t="s">
        <v>700</v>
      </c>
      <c r="F432" s="30">
        <f>14960*1.07</f>
        <v>16007.2</v>
      </c>
      <c r="G432" s="138">
        <v>242858</v>
      </c>
      <c r="H432" s="156" t="s">
        <v>701</v>
      </c>
      <c r="I432" s="27">
        <v>1</v>
      </c>
    </row>
    <row r="433" spans="2:9" ht="22.5" customHeight="1" x14ac:dyDescent="0.55000000000000004">
      <c r="B433" s="33"/>
      <c r="C433" s="43"/>
      <c r="D433" s="100"/>
      <c r="E433" s="65"/>
      <c r="F433" s="66"/>
      <c r="G433" s="32"/>
      <c r="H433" s="160"/>
      <c r="I433" s="32"/>
    </row>
    <row r="434" spans="2:9" ht="22.5" customHeight="1" x14ac:dyDescent="0.55000000000000004">
      <c r="B434" s="134">
        <v>214</v>
      </c>
      <c r="C434" s="15" t="s">
        <v>702</v>
      </c>
      <c r="D434" s="2" t="s">
        <v>14</v>
      </c>
      <c r="E434" s="18" t="s">
        <v>703</v>
      </c>
      <c r="F434" s="30">
        <f>22500*1.07</f>
        <v>24075</v>
      </c>
      <c r="G434" s="138">
        <v>242858</v>
      </c>
      <c r="H434" s="151" t="s">
        <v>704</v>
      </c>
      <c r="I434" s="46">
        <v>1</v>
      </c>
    </row>
    <row r="435" spans="2:9" ht="22.5" customHeight="1" x14ac:dyDescent="0.55000000000000004">
      <c r="B435" s="33"/>
      <c r="C435" s="33"/>
      <c r="D435" s="100"/>
      <c r="E435" s="65" t="s">
        <v>705</v>
      </c>
      <c r="F435" s="66"/>
      <c r="G435" s="32"/>
      <c r="H435" s="153"/>
      <c r="I435" s="47"/>
    </row>
    <row r="436" spans="2:9" ht="22.5" customHeight="1" x14ac:dyDescent="0.55000000000000004">
      <c r="B436" s="134">
        <v>215</v>
      </c>
      <c r="C436" s="72" t="s">
        <v>706</v>
      </c>
      <c r="D436" s="2" t="s">
        <v>707</v>
      </c>
      <c r="E436" s="18" t="s">
        <v>708</v>
      </c>
      <c r="F436" s="30">
        <f>57750*1.07</f>
        <v>61792.5</v>
      </c>
      <c r="G436" s="138">
        <v>242858</v>
      </c>
      <c r="H436" s="151" t="s">
        <v>709</v>
      </c>
      <c r="I436" s="27">
        <v>1</v>
      </c>
    </row>
    <row r="437" spans="2:9" ht="22.5" customHeight="1" x14ac:dyDescent="0.55000000000000004">
      <c r="B437" s="33"/>
      <c r="C437" s="85"/>
      <c r="D437" s="67"/>
      <c r="E437" s="65" t="s">
        <v>697</v>
      </c>
      <c r="F437" s="66"/>
      <c r="G437" s="32"/>
      <c r="H437" s="153"/>
      <c r="I437" s="32"/>
    </row>
    <row r="438" spans="2:9" ht="22.5" customHeight="1" x14ac:dyDescent="0.55000000000000004">
      <c r="B438" s="134">
        <v>216</v>
      </c>
      <c r="C438" s="114" t="s">
        <v>710</v>
      </c>
      <c r="D438" s="115" t="s">
        <v>711</v>
      </c>
      <c r="E438" s="18" t="s">
        <v>712</v>
      </c>
      <c r="F438" s="30">
        <f>13107*1.07</f>
        <v>14024.490000000002</v>
      </c>
      <c r="G438" s="138">
        <v>242858</v>
      </c>
      <c r="H438" s="151" t="s">
        <v>713</v>
      </c>
      <c r="I438" s="27">
        <v>1</v>
      </c>
    </row>
    <row r="439" spans="2:9" ht="22.5" customHeight="1" x14ac:dyDescent="0.55000000000000004">
      <c r="B439" s="33"/>
      <c r="C439" s="33"/>
      <c r="D439" s="105"/>
      <c r="E439" s="13"/>
      <c r="F439" s="66"/>
      <c r="G439" s="32"/>
      <c r="H439" s="153"/>
      <c r="I439" s="32"/>
    </row>
    <row r="440" spans="2:9" ht="22.5" customHeight="1" x14ac:dyDescent="0.55000000000000004">
      <c r="B440" s="134">
        <v>217</v>
      </c>
      <c r="C440" s="116" t="s">
        <v>702</v>
      </c>
      <c r="D440" s="115" t="s">
        <v>714</v>
      </c>
      <c r="E440" s="18" t="s">
        <v>715</v>
      </c>
      <c r="F440" s="30">
        <f>3000*1.07</f>
        <v>3210</v>
      </c>
      <c r="G440" s="138">
        <v>242859</v>
      </c>
      <c r="H440" s="151" t="s">
        <v>993</v>
      </c>
      <c r="I440" s="27">
        <v>1</v>
      </c>
    </row>
    <row r="441" spans="2:9" ht="22.5" customHeight="1" x14ac:dyDescent="0.55000000000000004">
      <c r="B441" s="33"/>
      <c r="C441" s="85"/>
      <c r="D441" s="105"/>
      <c r="E441" s="65" t="s">
        <v>716</v>
      </c>
      <c r="F441" s="66"/>
      <c r="G441" s="32"/>
      <c r="H441" s="153"/>
      <c r="I441" s="32"/>
    </row>
    <row r="442" spans="2:9" ht="22.5" customHeight="1" x14ac:dyDescent="0.55000000000000004">
      <c r="B442" s="134">
        <v>218</v>
      </c>
      <c r="C442" s="7" t="s">
        <v>336</v>
      </c>
      <c r="D442" s="115" t="s">
        <v>27</v>
      </c>
      <c r="E442" s="18" t="s">
        <v>717</v>
      </c>
      <c r="F442" s="30">
        <f>19060*1.07</f>
        <v>20394.2</v>
      </c>
      <c r="G442" s="138">
        <v>242859</v>
      </c>
      <c r="H442" s="151" t="s">
        <v>718</v>
      </c>
      <c r="I442" s="27">
        <v>1</v>
      </c>
    </row>
    <row r="443" spans="2:9" ht="22.5" customHeight="1" x14ac:dyDescent="0.55000000000000004">
      <c r="B443" s="33"/>
      <c r="C443" s="33"/>
      <c r="D443" s="105"/>
      <c r="E443" s="13"/>
      <c r="F443" s="66"/>
      <c r="G443" s="32"/>
      <c r="H443" s="153"/>
      <c r="I443" s="32"/>
    </row>
    <row r="444" spans="2:9" ht="22.5" customHeight="1" x14ac:dyDescent="0.55000000000000004">
      <c r="B444" s="134">
        <v>219</v>
      </c>
      <c r="C444" s="7" t="s">
        <v>336</v>
      </c>
      <c r="D444" s="115" t="s">
        <v>27</v>
      </c>
      <c r="E444" s="18" t="s">
        <v>719</v>
      </c>
      <c r="F444" s="30">
        <f>41040*1.07</f>
        <v>43912.800000000003</v>
      </c>
      <c r="G444" s="138">
        <v>242859</v>
      </c>
      <c r="H444" s="151" t="s">
        <v>992</v>
      </c>
      <c r="I444" s="27"/>
    </row>
    <row r="445" spans="2:9" ht="22.5" customHeight="1" x14ac:dyDescent="0.55000000000000004">
      <c r="B445" s="33"/>
      <c r="C445" s="33"/>
      <c r="D445" s="105"/>
      <c r="E445" s="13"/>
      <c r="F445" s="66"/>
      <c r="G445" s="32"/>
      <c r="H445" s="153"/>
      <c r="I445" s="32"/>
    </row>
    <row r="446" spans="2:9" ht="22.5" customHeight="1" x14ac:dyDescent="0.55000000000000004">
      <c r="B446" s="134">
        <v>220</v>
      </c>
      <c r="C446" s="15" t="s">
        <v>336</v>
      </c>
      <c r="D446" s="115" t="s">
        <v>27</v>
      </c>
      <c r="E446" s="18" t="s">
        <v>720</v>
      </c>
      <c r="F446" s="30">
        <f>5120*1.07</f>
        <v>5478.4000000000005</v>
      </c>
      <c r="G446" s="138">
        <v>242859</v>
      </c>
      <c r="H446" s="151" t="s">
        <v>721</v>
      </c>
      <c r="I446" s="27">
        <v>1</v>
      </c>
    </row>
    <row r="447" spans="2:9" ht="22.5" customHeight="1" x14ac:dyDescent="0.55000000000000004">
      <c r="B447" s="33"/>
      <c r="C447" s="33"/>
      <c r="D447" s="105"/>
      <c r="E447" s="13"/>
      <c r="F447" s="66"/>
      <c r="G447" s="32"/>
      <c r="H447" s="153"/>
      <c r="I447" s="32"/>
    </row>
    <row r="448" spans="2:9" ht="22.5" customHeight="1" x14ac:dyDescent="0.55000000000000004">
      <c r="B448" s="134">
        <v>221</v>
      </c>
      <c r="C448" s="118" t="s">
        <v>702</v>
      </c>
      <c r="D448" s="117" t="s">
        <v>14</v>
      </c>
      <c r="E448" s="18" t="s">
        <v>722</v>
      </c>
      <c r="F448" s="30">
        <f>3000*1.07</f>
        <v>3210</v>
      </c>
      <c r="G448" s="138">
        <v>242859</v>
      </c>
      <c r="H448" s="151" t="s">
        <v>987</v>
      </c>
      <c r="I448" s="27">
        <v>1</v>
      </c>
    </row>
    <row r="449" spans="2:9" ht="22.5" customHeight="1" x14ac:dyDescent="0.55000000000000004">
      <c r="B449" s="33"/>
      <c r="C449" s="33"/>
      <c r="D449" s="100"/>
      <c r="E449" s="13"/>
      <c r="F449" s="66"/>
      <c r="G449" s="32"/>
      <c r="H449" s="153"/>
      <c r="I449" s="32"/>
    </row>
    <row r="450" spans="2:9" ht="22.5" customHeight="1" x14ac:dyDescent="0.55000000000000004">
      <c r="B450" s="134">
        <v>222</v>
      </c>
      <c r="C450" s="72" t="s">
        <v>73</v>
      </c>
      <c r="D450" s="2" t="s">
        <v>723</v>
      </c>
      <c r="E450" s="146" t="s">
        <v>724</v>
      </c>
      <c r="F450" s="30">
        <f>33450*1.07</f>
        <v>35791.5</v>
      </c>
      <c r="G450" s="138">
        <v>242859</v>
      </c>
      <c r="H450" s="156" t="s">
        <v>988</v>
      </c>
      <c r="I450" s="27">
        <v>1</v>
      </c>
    </row>
    <row r="451" spans="2:9" ht="22.5" customHeight="1" x14ac:dyDescent="0.55000000000000004">
      <c r="B451" s="33"/>
      <c r="C451" s="43"/>
      <c r="D451" s="100"/>
      <c r="E451" s="13" t="s">
        <v>725</v>
      </c>
      <c r="F451" s="66"/>
      <c r="G451" s="32"/>
      <c r="H451" s="158"/>
      <c r="I451" s="32"/>
    </row>
    <row r="452" spans="2:9" ht="22.5" customHeight="1" x14ac:dyDescent="0.55000000000000004">
      <c r="B452" s="134">
        <v>223</v>
      </c>
      <c r="C452" s="72" t="s">
        <v>726</v>
      </c>
      <c r="D452" s="117" t="s">
        <v>727</v>
      </c>
      <c r="E452" s="18" t="s">
        <v>728</v>
      </c>
      <c r="F452" s="30">
        <f>18000*1.07</f>
        <v>19260</v>
      </c>
      <c r="G452" s="138">
        <v>242859</v>
      </c>
      <c r="H452" s="151" t="s">
        <v>729</v>
      </c>
      <c r="I452" s="27">
        <v>1</v>
      </c>
    </row>
    <row r="453" spans="2:9" ht="22.5" customHeight="1" x14ac:dyDescent="0.55000000000000004">
      <c r="B453" s="33"/>
      <c r="C453" s="33"/>
      <c r="D453" s="105"/>
      <c r="E453" s="13" t="s">
        <v>730</v>
      </c>
      <c r="F453" s="66"/>
      <c r="G453" s="32"/>
      <c r="H453" s="153"/>
      <c r="I453" s="32"/>
    </row>
    <row r="454" spans="2:9" ht="22.5" customHeight="1" x14ac:dyDescent="0.55000000000000004">
      <c r="B454" s="134">
        <v>224</v>
      </c>
      <c r="C454" s="11" t="s">
        <v>731</v>
      </c>
      <c r="D454" s="120" t="s">
        <v>732</v>
      </c>
      <c r="E454" s="18" t="s">
        <v>733</v>
      </c>
      <c r="F454" s="30">
        <f>3520*1.07</f>
        <v>3766.4</v>
      </c>
      <c r="G454" s="138">
        <v>242859</v>
      </c>
      <c r="H454" s="174" t="s">
        <v>991</v>
      </c>
      <c r="I454" s="27">
        <v>1</v>
      </c>
    </row>
    <row r="455" spans="2:9" ht="30.75" customHeight="1" x14ac:dyDescent="0.55000000000000004">
      <c r="B455" s="33"/>
      <c r="C455" s="33"/>
      <c r="D455" s="66"/>
      <c r="E455" s="13" t="s">
        <v>734</v>
      </c>
      <c r="F455" s="66"/>
      <c r="G455" s="4"/>
      <c r="H455" s="175"/>
      <c r="I455" s="32"/>
    </row>
    <row r="456" spans="2:9" ht="22.5" customHeight="1" x14ac:dyDescent="0.55000000000000004">
      <c r="B456" s="134">
        <v>225</v>
      </c>
      <c r="C456" s="118" t="s">
        <v>731</v>
      </c>
      <c r="D456" s="120" t="s">
        <v>732</v>
      </c>
      <c r="E456" s="18" t="s">
        <v>735</v>
      </c>
      <c r="F456" s="30">
        <f>625*1.07</f>
        <v>668.75</v>
      </c>
      <c r="G456" s="138">
        <v>242859</v>
      </c>
      <c r="H456" s="156" t="s">
        <v>736</v>
      </c>
      <c r="I456" s="27">
        <v>1</v>
      </c>
    </row>
    <row r="457" spans="2:9" ht="22.5" customHeight="1" x14ac:dyDescent="0.55000000000000004">
      <c r="B457" s="33"/>
      <c r="C457" s="32"/>
      <c r="D457" s="66"/>
      <c r="E457" s="65"/>
      <c r="F457" s="66"/>
      <c r="G457" s="32"/>
      <c r="H457" s="160"/>
      <c r="I457" s="32"/>
    </row>
    <row r="458" spans="2:9" ht="22.5" customHeight="1" x14ac:dyDescent="0.55000000000000004">
      <c r="B458" s="134">
        <v>226</v>
      </c>
      <c r="C458" s="28" t="s">
        <v>336</v>
      </c>
      <c r="D458" s="115" t="s">
        <v>27</v>
      </c>
      <c r="E458" s="18" t="s">
        <v>737</v>
      </c>
      <c r="F458" s="30">
        <f>11840*1.07</f>
        <v>12668.800000000001</v>
      </c>
      <c r="G458" s="138">
        <v>242859</v>
      </c>
      <c r="H458" s="151" t="s">
        <v>989</v>
      </c>
      <c r="I458" s="46">
        <v>1</v>
      </c>
    </row>
    <row r="459" spans="2:9" ht="22.5" customHeight="1" x14ac:dyDescent="0.55000000000000004">
      <c r="B459" s="33"/>
      <c r="C459" s="32"/>
      <c r="D459" s="105"/>
      <c r="E459" s="13" t="s">
        <v>738</v>
      </c>
      <c r="F459" s="66"/>
      <c r="G459" s="32"/>
      <c r="H459" s="153"/>
      <c r="I459" s="47"/>
    </row>
    <row r="460" spans="2:9" ht="22.5" customHeight="1" x14ac:dyDescent="0.55000000000000004">
      <c r="B460" s="134">
        <v>227</v>
      </c>
      <c r="C460" s="72" t="s">
        <v>702</v>
      </c>
      <c r="D460" s="117" t="s">
        <v>14</v>
      </c>
      <c r="E460" s="18" t="s">
        <v>739</v>
      </c>
      <c r="F460" s="30">
        <f>3000*1.07</f>
        <v>3210</v>
      </c>
      <c r="G460" s="138">
        <v>242859</v>
      </c>
      <c r="H460" s="174" t="s">
        <v>990</v>
      </c>
      <c r="I460" s="27">
        <v>1</v>
      </c>
    </row>
    <row r="461" spans="2:9" ht="22.5" customHeight="1" x14ac:dyDescent="0.55000000000000004">
      <c r="B461" s="33"/>
      <c r="C461" s="33"/>
      <c r="D461" s="100"/>
      <c r="E461" s="13"/>
      <c r="F461" s="66"/>
      <c r="G461" s="4"/>
      <c r="H461" s="153"/>
      <c r="I461" s="32"/>
    </row>
    <row r="462" spans="2:9" ht="25.5" customHeight="1" x14ac:dyDescent="0.55000000000000004">
      <c r="B462" s="27">
        <v>228</v>
      </c>
      <c r="C462" s="21" t="s">
        <v>740</v>
      </c>
      <c r="D462" s="117" t="s">
        <v>741</v>
      </c>
      <c r="E462" s="18" t="s">
        <v>742</v>
      </c>
      <c r="F462" s="30">
        <f>50000*1.07</f>
        <v>53500</v>
      </c>
      <c r="G462" s="138">
        <v>242859</v>
      </c>
      <c r="H462" s="174" t="s">
        <v>743</v>
      </c>
      <c r="I462" s="27">
        <v>1</v>
      </c>
    </row>
    <row r="463" spans="2:9" ht="22.5" customHeight="1" x14ac:dyDescent="0.55000000000000004">
      <c r="B463" s="32"/>
      <c r="C463" s="33"/>
      <c r="D463" s="100"/>
      <c r="E463" s="13"/>
      <c r="F463" s="66"/>
      <c r="G463" s="32"/>
      <c r="H463" s="153"/>
      <c r="I463" s="32"/>
    </row>
    <row r="464" spans="2:9" ht="22.5" customHeight="1" x14ac:dyDescent="0.55000000000000004">
      <c r="B464" s="27">
        <v>229</v>
      </c>
      <c r="C464" s="72" t="s">
        <v>45</v>
      </c>
      <c r="D464" s="2" t="s">
        <v>81</v>
      </c>
      <c r="E464" s="18" t="s">
        <v>744</v>
      </c>
      <c r="F464" s="30">
        <f>85380*1.07</f>
        <v>91356.6</v>
      </c>
      <c r="G464" s="138">
        <v>242860</v>
      </c>
      <c r="H464" s="156" t="s">
        <v>745</v>
      </c>
      <c r="I464" s="27">
        <v>1</v>
      </c>
    </row>
    <row r="465" spans="2:9" ht="22.5" customHeight="1" x14ac:dyDescent="0.55000000000000004">
      <c r="B465" s="32"/>
      <c r="C465" s="33"/>
      <c r="D465" s="100"/>
      <c r="E465" s="65" t="s">
        <v>746</v>
      </c>
      <c r="F465" s="66"/>
      <c r="G465" s="32"/>
      <c r="H465" s="160"/>
      <c r="I465" s="32"/>
    </row>
    <row r="466" spans="2:9" ht="22.5" customHeight="1" x14ac:dyDescent="0.55000000000000004">
      <c r="B466" s="27">
        <v>230</v>
      </c>
      <c r="C466" s="118" t="s">
        <v>384</v>
      </c>
      <c r="D466" s="2" t="s">
        <v>53</v>
      </c>
      <c r="E466" s="18" t="s">
        <v>747</v>
      </c>
      <c r="F466" s="30">
        <f>65800*1.07</f>
        <v>70406</v>
      </c>
      <c r="G466" s="138">
        <v>242860</v>
      </c>
      <c r="H466" s="151" t="s">
        <v>1027</v>
      </c>
      <c r="I466" s="27">
        <v>1</v>
      </c>
    </row>
    <row r="467" spans="2:9" ht="28.5" customHeight="1" x14ac:dyDescent="0.55000000000000004">
      <c r="B467" s="32"/>
      <c r="C467" s="90"/>
      <c r="D467" s="100"/>
      <c r="E467" s="13"/>
      <c r="F467" s="66"/>
      <c r="G467" s="32"/>
      <c r="H467" s="153"/>
      <c r="I467" s="32"/>
    </row>
    <row r="468" spans="2:9" ht="22.5" customHeight="1" x14ac:dyDescent="0.55000000000000004">
      <c r="B468" s="27">
        <v>231</v>
      </c>
      <c r="C468" s="42" t="s">
        <v>62</v>
      </c>
      <c r="D468" s="2" t="s">
        <v>748</v>
      </c>
      <c r="E468" s="18" t="s">
        <v>749</v>
      </c>
      <c r="F468" s="30">
        <f>85000*1.07</f>
        <v>90950</v>
      </c>
      <c r="G468" s="138">
        <v>242860</v>
      </c>
      <c r="H468" s="156" t="s">
        <v>750</v>
      </c>
      <c r="I468" s="27">
        <v>1</v>
      </c>
    </row>
    <row r="469" spans="2:9" ht="26.25" customHeight="1" x14ac:dyDescent="0.55000000000000004">
      <c r="B469" s="32"/>
      <c r="C469" s="123"/>
      <c r="D469" s="100" t="s">
        <v>107</v>
      </c>
      <c r="E469" s="65" t="s">
        <v>751</v>
      </c>
      <c r="F469" s="66"/>
      <c r="G469" s="32"/>
      <c r="H469" s="160"/>
      <c r="I469" s="32"/>
    </row>
    <row r="470" spans="2:9" ht="22.5" customHeight="1" x14ac:dyDescent="0.55000000000000004">
      <c r="B470" s="27">
        <v>232</v>
      </c>
      <c r="C470" s="72" t="s">
        <v>752</v>
      </c>
      <c r="D470" s="2" t="s">
        <v>753</v>
      </c>
      <c r="E470" s="18" t="s">
        <v>754</v>
      </c>
      <c r="F470" s="30">
        <f>14155*1.07</f>
        <v>15145.85</v>
      </c>
      <c r="G470" s="138">
        <v>242860</v>
      </c>
      <c r="H470" s="151" t="s">
        <v>755</v>
      </c>
      <c r="I470" s="27">
        <v>1</v>
      </c>
    </row>
    <row r="471" spans="2:9" ht="22.5" customHeight="1" x14ac:dyDescent="0.55000000000000004">
      <c r="B471" s="32"/>
      <c r="C471" s="32"/>
      <c r="D471" s="100"/>
      <c r="E471" s="13" t="s">
        <v>738</v>
      </c>
      <c r="F471" s="66"/>
      <c r="G471" s="32"/>
      <c r="H471" s="153"/>
      <c r="I471" s="32"/>
    </row>
    <row r="472" spans="2:9" ht="22.5" customHeight="1" x14ac:dyDescent="0.55000000000000004">
      <c r="B472" s="27">
        <v>233</v>
      </c>
      <c r="C472" s="7" t="s">
        <v>731</v>
      </c>
      <c r="D472" s="120" t="s">
        <v>732</v>
      </c>
      <c r="E472" s="18" t="s">
        <v>756</v>
      </c>
      <c r="F472" s="30">
        <f>3600*1.07</f>
        <v>3852</v>
      </c>
      <c r="G472" s="138">
        <v>242860</v>
      </c>
      <c r="H472" s="151" t="s">
        <v>757</v>
      </c>
      <c r="I472" s="46">
        <v>1</v>
      </c>
    </row>
    <row r="473" spans="2:9" ht="22.5" customHeight="1" x14ac:dyDescent="0.55000000000000004">
      <c r="B473" s="32"/>
      <c r="C473" s="33"/>
      <c r="D473" s="66"/>
      <c r="E473" s="13"/>
      <c r="F473" s="66"/>
      <c r="G473" s="4"/>
      <c r="H473" s="153"/>
      <c r="I473" s="47"/>
    </row>
    <row r="474" spans="2:9" ht="22.5" customHeight="1" x14ac:dyDescent="0.55000000000000004">
      <c r="B474" s="27">
        <v>234</v>
      </c>
      <c r="C474" s="118" t="s">
        <v>121</v>
      </c>
      <c r="D474" s="2" t="s">
        <v>758</v>
      </c>
      <c r="E474" s="18" t="s">
        <v>759</v>
      </c>
      <c r="F474" s="30">
        <f>53000*1.07</f>
        <v>56710</v>
      </c>
      <c r="G474" s="138">
        <v>242860</v>
      </c>
      <c r="H474" s="155" t="s">
        <v>994</v>
      </c>
      <c r="I474" s="46">
        <v>1</v>
      </c>
    </row>
    <row r="475" spans="2:9" ht="22.5" customHeight="1" x14ac:dyDescent="0.55000000000000004">
      <c r="B475" s="32"/>
      <c r="C475" s="33"/>
      <c r="D475" s="100"/>
      <c r="E475" s="13"/>
      <c r="F475" s="66"/>
      <c r="G475" s="32"/>
      <c r="H475" s="153"/>
      <c r="I475" s="47"/>
    </row>
    <row r="476" spans="2:9" ht="22.5" customHeight="1" x14ac:dyDescent="0.55000000000000004">
      <c r="B476" s="27">
        <v>235</v>
      </c>
      <c r="C476" s="76" t="s">
        <v>760</v>
      </c>
      <c r="D476" s="120" t="s">
        <v>391</v>
      </c>
      <c r="E476" s="18" t="s">
        <v>761</v>
      </c>
      <c r="F476" s="30">
        <f>92760*1.07</f>
        <v>99253.200000000012</v>
      </c>
      <c r="G476" s="138">
        <v>242860</v>
      </c>
      <c r="H476" s="155" t="s">
        <v>762</v>
      </c>
      <c r="I476" s="46">
        <v>1</v>
      </c>
    </row>
    <row r="477" spans="2:9" ht="22.5" customHeight="1" x14ac:dyDescent="0.55000000000000004">
      <c r="B477" s="32"/>
      <c r="C477" s="33"/>
      <c r="D477" s="66"/>
      <c r="E477" s="13" t="s">
        <v>763</v>
      </c>
      <c r="F477" s="66"/>
      <c r="G477" s="32"/>
      <c r="H477" s="153"/>
      <c r="I477" s="47"/>
    </row>
    <row r="478" spans="2:9" ht="22.5" customHeight="1" x14ac:dyDescent="0.55000000000000004">
      <c r="B478" s="27">
        <v>236</v>
      </c>
      <c r="C478" s="72" t="s">
        <v>764</v>
      </c>
      <c r="D478" s="2" t="s">
        <v>119</v>
      </c>
      <c r="E478" s="18" t="s">
        <v>765</v>
      </c>
      <c r="F478" s="30">
        <f>14000*1.07</f>
        <v>14980</v>
      </c>
      <c r="G478" s="138">
        <v>242864</v>
      </c>
      <c r="H478" s="155" t="s">
        <v>766</v>
      </c>
      <c r="I478" s="46">
        <v>1</v>
      </c>
    </row>
    <row r="479" spans="2:9" ht="22.5" customHeight="1" x14ac:dyDescent="0.55000000000000004">
      <c r="B479" s="32"/>
      <c r="C479" s="70"/>
      <c r="D479" s="100"/>
      <c r="E479" s="13" t="s">
        <v>767</v>
      </c>
      <c r="F479" s="66"/>
      <c r="G479" s="32"/>
      <c r="H479" s="153"/>
      <c r="I479" s="47"/>
    </row>
    <row r="480" spans="2:9" ht="22.5" customHeight="1" x14ac:dyDescent="0.55000000000000004">
      <c r="B480" s="27">
        <v>237</v>
      </c>
      <c r="C480" s="72" t="s">
        <v>596</v>
      </c>
      <c r="D480" s="2" t="s">
        <v>768</v>
      </c>
      <c r="E480" s="18" t="s">
        <v>769</v>
      </c>
      <c r="F480" s="30">
        <f>14920*1.07</f>
        <v>15964.400000000001</v>
      </c>
      <c r="G480" s="138">
        <v>242865</v>
      </c>
      <c r="H480" s="155" t="s">
        <v>995</v>
      </c>
      <c r="I480" s="46">
        <v>1</v>
      </c>
    </row>
    <row r="481" spans="2:9" ht="22.5" customHeight="1" x14ac:dyDescent="0.55000000000000004">
      <c r="B481" s="32"/>
      <c r="C481" s="33"/>
      <c r="D481" s="100"/>
      <c r="E481" s="13"/>
      <c r="F481" s="66"/>
      <c r="G481" s="32"/>
      <c r="H481" s="153"/>
      <c r="I481" s="47"/>
    </row>
    <row r="482" spans="2:9" ht="22.5" customHeight="1" x14ac:dyDescent="0.55000000000000004">
      <c r="B482" s="27">
        <v>238</v>
      </c>
      <c r="C482" s="23" t="s">
        <v>336</v>
      </c>
      <c r="D482" s="12" t="s">
        <v>770</v>
      </c>
      <c r="E482" s="18" t="s">
        <v>771</v>
      </c>
      <c r="F482" s="30">
        <f>3200*1.07</f>
        <v>3424</v>
      </c>
      <c r="G482" s="138">
        <v>242865</v>
      </c>
      <c r="H482" s="155" t="s">
        <v>772</v>
      </c>
      <c r="I482" s="46">
        <v>1</v>
      </c>
    </row>
    <row r="483" spans="2:9" ht="22.5" customHeight="1" x14ac:dyDescent="0.55000000000000004">
      <c r="B483" s="32"/>
      <c r="C483" s="43"/>
      <c r="D483" s="100"/>
      <c r="E483" s="13"/>
      <c r="F483" s="66"/>
      <c r="G483" s="32"/>
      <c r="H483" s="153"/>
      <c r="I483" s="47"/>
    </row>
    <row r="484" spans="2:9" ht="22.5" customHeight="1" x14ac:dyDescent="0.55000000000000004">
      <c r="B484" s="27">
        <v>239</v>
      </c>
      <c r="C484" s="11" t="s">
        <v>773</v>
      </c>
      <c r="D484" s="120" t="s">
        <v>51</v>
      </c>
      <c r="E484" s="18" t="s">
        <v>774</v>
      </c>
      <c r="F484" s="30">
        <f>4500*1.07</f>
        <v>4815</v>
      </c>
      <c r="G484" s="138">
        <v>242865</v>
      </c>
      <c r="H484" s="155" t="s">
        <v>775</v>
      </c>
      <c r="I484" s="46">
        <v>1</v>
      </c>
    </row>
    <row r="485" spans="2:9" ht="22.5" customHeight="1" x14ac:dyDescent="0.55000000000000004">
      <c r="B485" s="32"/>
      <c r="C485" s="85"/>
      <c r="D485" s="66"/>
      <c r="E485" s="13" t="s">
        <v>776</v>
      </c>
      <c r="F485" s="66"/>
      <c r="G485" s="32"/>
      <c r="H485" s="153"/>
      <c r="I485" s="47"/>
    </row>
    <row r="486" spans="2:9" ht="22.5" customHeight="1" x14ac:dyDescent="0.55000000000000004">
      <c r="B486" s="27">
        <v>240</v>
      </c>
      <c r="C486" s="42" t="s">
        <v>777</v>
      </c>
      <c r="D486" s="2" t="s">
        <v>21</v>
      </c>
      <c r="E486" s="18" t="s">
        <v>778</v>
      </c>
      <c r="F486" s="30">
        <f>13024*1.07</f>
        <v>13935.68</v>
      </c>
      <c r="G486" s="138">
        <v>242866</v>
      </c>
      <c r="H486" s="155" t="s">
        <v>779</v>
      </c>
      <c r="I486" s="46">
        <v>1</v>
      </c>
    </row>
    <row r="487" spans="2:9" ht="22.5" customHeight="1" x14ac:dyDescent="0.55000000000000004">
      <c r="B487" s="32"/>
      <c r="C487" s="32"/>
      <c r="D487" s="98"/>
      <c r="E487" s="13" t="s">
        <v>780</v>
      </c>
      <c r="F487" s="66"/>
      <c r="G487" s="32"/>
      <c r="H487" s="153"/>
      <c r="I487" s="47"/>
    </row>
    <row r="488" spans="2:9" ht="22.5" customHeight="1" x14ac:dyDescent="0.55000000000000004">
      <c r="B488" s="27">
        <v>241</v>
      </c>
      <c r="C488" s="42" t="s">
        <v>781</v>
      </c>
      <c r="D488" s="117" t="s">
        <v>782</v>
      </c>
      <c r="E488" s="18" t="s">
        <v>783</v>
      </c>
      <c r="F488" s="30">
        <f>12600*1.07</f>
        <v>13482</v>
      </c>
      <c r="G488" s="138">
        <v>242870</v>
      </c>
      <c r="H488" s="155" t="s">
        <v>999</v>
      </c>
      <c r="I488" s="46">
        <v>1</v>
      </c>
    </row>
    <row r="489" spans="2:9" ht="22.5" customHeight="1" x14ac:dyDescent="0.55000000000000004">
      <c r="B489" s="32"/>
      <c r="C489" s="32"/>
      <c r="D489" s="69"/>
      <c r="E489" s="13"/>
      <c r="F489" s="66"/>
      <c r="G489" s="32"/>
      <c r="H489" s="153"/>
      <c r="I489" s="47"/>
    </row>
    <row r="490" spans="2:9" ht="22.5" customHeight="1" x14ac:dyDescent="0.55000000000000004">
      <c r="B490" s="27">
        <v>242</v>
      </c>
      <c r="C490" s="72" t="s">
        <v>63</v>
      </c>
      <c r="D490" s="117" t="s">
        <v>784</v>
      </c>
      <c r="E490" s="18" t="s">
        <v>785</v>
      </c>
      <c r="F490" s="30">
        <f>24540*1.07</f>
        <v>26257.800000000003</v>
      </c>
      <c r="G490" s="138">
        <v>242870</v>
      </c>
      <c r="H490" s="155" t="s">
        <v>998</v>
      </c>
      <c r="I490" s="46">
        <v>1</v>
      </c>
    </row>
    <row r="491" spans="2:9" ht="22.5" customHeight="1" x14ac:dyDescent="0.55000000000000004">
      <c r="B491" s="32"/>
      <c r="C491" s="32"/>
      <c r="D491" s="69"/>
      <c r="E491" s="13" t="s">
        <v>786</v>
      </c>
      <c r="F491" s="66"/>
      <c r="G491" s="32"/>
      <c r="H491" s="153"/>
      <c r="I491" s="47"/>
    </row>
    <row r="492" spans="2:9" ht="22.5" customHeight="1" x14ac:dyDescent="0.55000000000000004">
      <c r="B492" s="27">
        <v>243</v>
      </c>
      <c r="C492" s="106" t="s">
        <v>67</v>
      </c>
      <c r="D492" s="120" t="s">
        <v>787</v>
      </c>
      <c r="E492" s="62" t="s">
        <v>788</v>
      </c>
      <c r="F492" s="30">
        <f>10080*1.07</f>
        <v>10785.6</v>
      </c>
      <c r="G492" s="138">
        <v>242870</v>
      </c>
      <c r="H492" s="155" t="s">
        <v>997</v>
      </c>
      <c r="I492" s="46">
        <v>1</v>
      </c>
    </row>
    <row r="493" spans="2:9" ht="28.5" customHeight="1" x14ac:dyDescent="0.55000000000000004">
      <c r="B493" s="32"/>
      <c r="C493" s="139"/>
      <c r="D493" s="66"/>
      <c r="E493" s="13" t="s">
        <v>789</v>
      </c>
      <c r="F493" s="66"/>
      <c r="G493" s="32"/>
      <c r="H493" s="153"/>
      <c r="I493" s="47"/>
    </row>
    <row r="494" spans="2:9" ht="22.5" customHeight="1" x14ac:dyDescent="0.55000000000000004">
      <c r="B494" s="27">
        <v>244</v>
      </c>
      <c r="C494" s="95" t="s">
        <v>760</v>
      </c>
      <c r="D494" s="8" t="s">
        <v>790</v>
      </c>
      <c r="E494" s="147" t="s">
        <v>959</v>
      </c>
      <c r="F494" s="30">
        <f>25900*1.07</f>
        <v>27713</v>
      </c>
      <c r="G494" s="138">
        <v>242870</v>
      </c>
      <c r="H494" s="155" t="s">
        <v>996</v>
      </c>
      <c r="I494" s="46">
        <v>1</v>
      </c>
    </row>
    <row r="495" spans="2:9" ht="22.5" customHeight="1" x14ac:dyDescent="0.55000000000000004">
      <c r="B495" s="32"/>
      <c r="C495" s="139"/>
      <c r="D495" s="66"/>
      <c r="E495" s="65" t="s">
        <v>960</v>
      </c>
      <c r="F495" s="66"/>
      <c r="G495" s="32"/>
      <c r="H495" s="153"/>
      <c r="I495" s="47"/>
    </row>
    <row r="496" spans="2:9" ht="22.5" customHeight="1" x14ac:dyDescent="0.55000000000000004">
      <c r="B496" s="27">
        <v>245</v>
      </c>
      <c r="C496" s="28" t="s">
        <v>760</v>
      </c>
      <c r="D496" s="8" t="s">
        <v>790</v>
      </c>
      <c r="E496" s="18" t="s">
        <v>961</v>
      </c>
      <c r="F496" s="30">
        <f>6240*1.07</f>
        <v>6676.8</v>
      </c>
      <c r="G496" s="138">
        <v>242870</v>
      </c>
      <c r="H496" s="155" t="s">
        <v>1026</v>
      </c>
      <c r="I496" s="46">
        <v>1</v>
      </c>
    </row>
    <row r="497" spans="2:9" ht="27" customHeight="1" x14ac:dyDescent="0.55000000000000004">
      <c r="B497" s="32"/>
      <c r="C497" s="85"/>
      <c r="D497" s="66"/>
      <c r="E497" s="13" t="s">
        <v>962</v>
      </c>
      <c r="F497" s="66"/>
      <c r="G497" s="32"/>
      <c r="H497" s="153"/>
      <c r="I497" s="47"/>
    </row>
    <row r="498" spans="2:9" ht="22.5" customHeight="1" x14ac:dyDescent="0.55000000000000004">
      <c r="B498" s="27">
        <v>246</v>
      </c>
      <c r="C498" s="72" t="s">
        <v>73</v>
      </c>
      <c r="D498" s="117" t="s">
        <v>791</v>
      </c>
      <c r="E498" s="18" t="s">
        <v>792</v>
      </c>
      <c r="F498" s="30">
        <f>80000*1.07</f>
        <v>85600</v>
      </c>
      <c r="G498" s="138">
        <v>242870</v>
      </c>
      <c r="H498" s="155" t="s">
        <v>793</v>
      </c>
      <c r="I498" s="46">
        <v>1</v>
      </c>
    </row>
    <row r="499" spans="2:9" ht="22.5" customHeight="1" x14ac:dyDescent="0.55000000000000004">
      <c r="B499" s="32"/>
      <c r="C499" s="32"/>
      <c r="D499" s="100"/>
      <c r="E499" s="13"/>
      <c r="F499" s="66"/>
      <c r="G499" s="32"/>
      <c r="H499" s="153"/>
      <c r="I499" s="47"/>
    </row>
    <row r="500" spans="2:9" ht="22.5" customHeight="1" x14ac:dyDescent="0.55000000000000004">
      <c r="B500" s="27">
        <v>247</v>
      </c>
      <c r="C500" s="7" t="s">
        <v>777</v>
      </c>
      <c r="D500" s="117" t="s">
        <v>23</v>
      </c>
      <c r="E500" s="18" t="s">
        <v>670</v>
      </c>
      <c r="F500" s="30">
        <f>5185*1.07</f>
        <v>5547.9500000000007</v>
      </c>
      <c r="G500" s="138">
        <v>242870</v>
      </c>
      <c r="H500" s="155" t="s">
        <v>1000</v>
      </c>
      <c r="I500" s="46">
        <v>1</v>
      </c>
    </row>
    <row r="501" spans="2:9" ht="22.5" customHeight="1" x14ac:dyDescent="0.55000000000000004">
      <c r="B501" s="32"/>
      <c r="C501" s="32"/>
      <c r="D501" s="100"/>
      <c r="E501" s="13" t="s">
        <v>738</v>
      </c>
      <c r="F501" s="66"/>
      <c r="G501" s="32"/>
      <c r="H501" s="153"/>
      <c r="I501" s="47"/>
    </row>
    <row r="502" spans="2:9" ht="22.5" customHeight="1" x14ac:dyDescent="0.55000000000000004">
      <c r="B502" s="27">
        <v>248</v>
      </c>
      <c r="C502" s="7" t="s">
        <v>760</v>
      </c>
      <c r="D502" s="2" t="s">
        <v>794</v>
      </c>
      <c r="E502" s="18" t="s">
        <v>963</v>
      </c>
      <c r="F502" s="30">
        <f>18720*1.07</f>
        <v>20030.400000000001</v>
      </c>
      <c r="G502" s="138">
        <v>242870</v>
      </c>
      <c r="H502" s="155" t="s">
        <v>795</v>
      </c>
      <c r="I502" s="46">
        <v>1</v>
      </c>
    </row>
    <row r="503" spans="2:9" ht="30.75" customHeight="1" x14ac:dyDescent="0.55000000000000004">
      <c r="B503" s="32"/>
      <c r="C503" s="32"/>
      <c r="D503" s="100"/>
      <c r="E503" s="26" t="s">
        <v>796</v>
      </c>
      <c r="F503" s="66"/>
      <c r="G503" s="32"/>
      <c r="H503" s="153"/>
      <c r="I503" s="47"/>
    </row>
    <row r="504" spans="2:9" ht="22.5" customHeight="1" x14ac:dyDescent="0.55000000000000004">
      <c r="B504" s="27">
        <v>249</v>
      </c>
      <c r="C504" s="23" t="s">
        <v>797</v>
      </c>
      <c r="D504" s="120" t="s">
        <v>798</v>
      </c>
      <c r="E504" s="18" t="s">
        <v>799</v>
      </c>
      <c r="F504" s="30">
        <f>87000*1.07</f>
        <v>93090</v>
      </c>
      <c r="G504" s="138">
        <v>242871</v>
      </c>
      <c r="H504" s="155" t="s">
        <v>1001</v>
      </c>
      <c r="I504" s="46">
        <v>1</v>
      </c>
    </row>
    <row r="505" spans="2:9" ht="24.75" customHeight="1" x14ac:dyDescent="0.55000000000000004">
      <c r="B505" s="32"/>
      <c r="C505" s="33"/>
      <c r="D505" s="66" t="s">
        <v>107</v>
      </c>
      <c r="E505" s="13" t="s">
        <v>734</v>
      </c>
      <c r="F505" s="66"/>
      <c r="G505" s="32"/>
      <c r="H505" s="153"/>
      <c r="I505" s="47"/>
    </row>
    <row r="506" spans="2:9" ht="22.5" customHeight="1" x14ac:dyDescent="0.55000000000000004">
      <c r="B506" s="27">
        <v>250</v>
      </c>
      <c r="C506" s="114" t="s">
        <v>800</v>
      </c>
      <c r="D506" s="2" t="s">
        <v>801</v>
      </c>
      <c r="E506" s="18" t="s">
        <v>802</v>
      </c>
      <c r="F506" s="30">
        <f>43600*1.07</f>
        <v>46652</v>
      </c>
      <c r="G506" s="138">
        <v>242871</v>
      </c>
      <c r="H506" s="155" t="s">
        <v>1002</v>
      </c>
      <c r="I506" s="27">
        <v>1</v>
      </c>
    </row>
    <row r="507" spans="2:9" ht="22.5" customHeight="1" x14ac:dyDescent="0.55000000000000004">
      <c r="B507" s="32"/>
      <c r="C507" s="33"/>
      <c r="D507" s="100"/>
      <c r="E507" s="13" t="s">
        <v>738</v>
      </c>
      <c r="F507" s="66"/>
      <c r="G507" s="32"/>
      <c r="H507" s="153"/>
      <c r="I507" s="32"/>
    </row>
    <row r="508" spans="2:9" ht="22.5" customHeight="1" x14ac:dyDescent="0.55000000000000004">
      <c r="B508" s="27">
        <v>251</v>
      </c>
      <c r="C508" s="83" t="s">
        <v>710</v>
      </c>
      <c r="D508" s="117" t="s">
        <v>803</v>
      </c>
      <c r="E508" s="18" t="s">
        <v>804</v>
      </c>
      <c r="F508" s="30">
        <f>39559*1.07</f>
        <v>42328.130000000005</v>
      </c>
      <c r="G508" s="138">
        <v>242871</v>
      </c>
      <c r="H508" s="155" t="s">
        <v>1003</v>
      </c>
      <c r="I508" s="46">
        <v>1</v>
      </c>
    </row>
    <row r="509" spans="2:9" ht="22.5" customHeight="1" x14ac:dyDescent="0.55000000000000004">
      <c r="B509" s="32"/>
      <c r="C509" s="85"/>
      <c r="D509" s="69"/>
      <c r="E509" s="13" t="s">
        <v>805</v>
      </c>
      <c r="F509" s="66"/>
      <c r="G509" s="32"/>
      <c r="H509" s="153"/>
      <c r="I509" s="47"/>
    </row>
    <row r="510" spans="2:9" ht="22.5" customHeight="1" x14ac:dyDescent="0.55000000000000004">
      <c r="B510" s="27">
        <v>252</v>
      </c>
      <c r="C510" s="72" t="s">
        <v>64</v>
      </c>
      <c r="D510" s="117" t="s">
        <v>806</v>
      </c>
      <c r="E510" s="18" t="s">
        <v>807</v>
      </c>
      <c r="F510" s="30">
        <f>6600*1.07</f>
        <v>7062</v>
      </c>
      <c r="G510" s="138">
        <v>242871</v>
      </c>
      <c r="H510" s="155" t="s">
        <v>1004</v>
      </c>
      <c r="I510" s="27">
        <v>1</v>
      </c>
    </row>
    <row r="511" spans="2:9" ht="22.5" customHeight="1" x14ac:dyDescent="0.55000000000000004">
      <c r="B511" s="32"/>
      <c r="C511" s="32"/>
      <c r="D511" s="69"/>
      <c r="E511" s="13" t="s">
        <v>808</v>
      </c>
      <c r="F511" s="66"/>
      <c r="G511" s="32"/>
      <c r="H511" s="153"/>
      <c r="I511" s="32"/>
    </row>
    <row r="512" spans="2:9" ht="22.5" customHeight="1" x14ac:dyDescent="0.55000000000000004">
      <c r="B512" s="27">
        <v>253</v>
      </c>
      <c r="C512" s="136" t="s">
        <v>702</v>
      </c>
      <c r="D512" s="117" t="s">
        <v>809</v>
      </c>
      <c r="E512" s="18" t="s">
        <v>810</v>
      </c>
      <c r="F512" s="30">
        <f>1950*1.07</f>
        <v>2086.5</v>
      </c>
      <c r="G512" s="138">
        <v>242871</v>
      </c>
      <c r="H512" s="155" t="s">
        <v>1005</v>
      </c>
      <c r="I512" s="46">
        <v>1</v>
      </c>
    </row>
    <row r="513" spans="2:9" ht="22.5" customHeight="1" x14ac:dyDescent="0.55000000000000004">
      <c r="B513" s="32"/>
      <c r="C513" s="70"/>
      <c r="D513" s="69"/>
      <c r="E513" s="13"/>
      <c r="F513" s="66"/>
      <c r="G513" s="32"/>
      <c r="H513" s="153"/>
      <c r="I513" s="47"/>
    </row>
    <row r="514" spans="2:9" ht="18.75" customHeight="1" x14ac:dyDescent="0.55000000000000004">
      <c r="B514" s="27">
        <v>254</v>
      </c>
      <c r="C514" s="72" t="s">
        <v>811</v>
      </c>
      <c r="D514" s="117" t="s">
        <v>812</v>
      </c>
      <c r="E514" s="18" t="s">
        <v>813</v>
      </c>
      <c r="F514" s="30">
        <f>30160*1.07</f>
        <v>32271.200000000001</v>
      </c>
      <c r="G514" s="138">
        <v>242871</v>
      </c>
      <c r="H514" s="155" t="s">
        <v>1006</v>
      </c>
      <c r="I514" s="27">
        <v>1</v>
      </c>
    </row>
    <row r="515" spans="2:9" ht="18.75" customHeight="1" x14ac:dyDescent="0.55000000000000004">
      <c r="B515" s="32"/>
      <c r="C515" s="32"/>
      <c r="D515" s="69"/>
      <c r="E515" s="13" t="s">
        <v>108</v>
      </c>
      <c r="F515" s="66"/>
      <c r="G515" s="32"/>
      <c r="H515" s="153"/>
      <c r="I515" s="32"/>
    </row>
    <row r="516" spans="2:9" ht="18.75" customHeight="1" x14ac:dyDescent="0.55000000000000004">
      <c r="B516" s="27">
        <v>255</v>
      </c>
      <c r="C516" s="72" t="s">
        <v>702</v>
      </c>
      <c r="D516" s="117" t="s">
        <v>814</v>
      </c>
      <c r="E516" s="18" t="s">
        <v>815</v>
      </c>
      <c r="F516" s="30">
        <f>2200*1.07</f>
        <v>2354</v>
      </c>
      <c r="G516" s="138">
        <v>242871</v>
      </c>
      <c r="H516" s="155" t="s">
        <v>816</v>
      </c>
      <c r="I516" s="46">
        <v>1</v>
      </c>
    </row>
    <row r="517" spans="2:9" ht="18.75" customHeight="1" x14ac:dyDescent="0.55000000000000004">
      <c r="B517" s="32"/>
      <c r="C517" s="32"/>
      <c r="D517" s="69"/>
      <c r="E517" s="13"/>
      <c r="F517" s="66"/>
      <c r="G517" s="32"/>
      <c r="H517" s="153"/>
      <c r="I517" s="47"/>
    </row>
    <row r="518" spans="2:9" ht="18.75" customHeight="1" x14ac:dyDescent="0.55000000000000004">
      <c r="B518" s="27">
        <v>256</v>
      </c>
      <c r="C518" s="72" t="s">
        <v>121</v>
      </c>
      <c r="D518" s="2" t="s">
        <v>817</v>
      </c>
      <c r="E518" s="120" t="s">
        <v>818</v>
      </c>
      <c r="F518" s="30">
        <f>2700*1.07</f>
        <v>2889</v>
      </c>
      <c r="G518" s="138">
        <v>242871</v>
      </c>
      <c r="H518" s="177" t="s">
        <v>819</v>
      </c>
      <c r="I518" s="27">
        <v>1</v>
      </c>
    </row>
    <row r="519" spans="2:9" ht="18.75" customHeight="1" x14ac:dyDescent="0.55000000000000004">
      <c r="B519" s="32"/>
      <c r="C519" s="32"/>
      <c r="D519" s="100"/>
      <c r="E519" s="13" t="s">
        <v>734</v>
      </c>
      <c r="F519" s="66"/>
      <c r="G519" s="32"/>
      <c r="H519" s="153"/>
      <c r="I519" s="32"/>
    </row>
    <row r="520" spans="2:9" ht="18.75" customHeight="1" x14ac:dyDescent="0.55000000000000004">
      <c r="B520" s="27">
        <v>257</v>
      </c>
      <c r="C520" s="72" t="s">
        <v>619</v>
      </c>
      <c r="D520" s="117" t="s">
        <v>820</v>
      </c>
      <c r="E520" s="18" t="s">
        <v>821</v>
      </c>
      <c r="F520" s="30">
        <f>54600*1.07</f>
        <v>58422</v>
      </c>
      <c r="G520" s="138">
        <v>242871</v>
      </c>
      <c r="H520" s="155" t="s">
        <v>1010</v>
      </c>
      <c r="I520" s="46">
        <v>1</v>
      </c>
    </row>
    <row r="521" spans="2:9" ht="18.75" customHeight="1" x14ac:dyDescent="0.55000000000000004">
      <c r="B521" s="32"/>
      <c r="C521" s="32"/>
      <c r="D521" s="69"/>
      <c r="E521" s="13" t="s">
        <v>822</v>
      </c>
      <c r="F521" s="66"/>
      <c r="G521" s="32"/>
      <c r="H521" s="153"/>
      <c r="I521" s="47"/>
    </row>
    <row r="522" spans="2:9" ht="18.75" customHeight="1" x14ac:dyDescent="0.55000000000000004">
      <c r="B522" s="27">
        <v>258</v>
      </c>
      <c r="C522" s="72" t="s">
        <v>731</v>
      </c>
      <c r="D522" s="117" t="s">
        <v>50</v>
      </c>
      <c r="E522" s="18" t="s">
        <v>823</v>
      </c>
      <c r="F522" s="30">
        <f>2230*1.07</f>
        <v>2386.1000000000004</v>
      </c>
      <c r="G522" s="138">
        <v>242871</v>
      </c>
      <c r="H522" s="155" t="s">
        <v>1009</v>
      </c>
      <c r="I522" s="46">
        <v>1</v>
      </c>
    </row>
    <row r="523" spans="2:9" ht="18.75" customHeight="1" x14ac:dyDescent="0.55000000000000004">
      <c r="B523" s="32"/>
      <c r="C523" s="32"/>
      <c r="D523" s="69"/>
      <c r="E523" s="13" t="s">
        <v>738</v>
      </c>
      <c r="F523" s="66"/>
      <c r="G523" s="32"/>
      <c r="H523" s="153"/>
      <c r="I523" s="47"/>
    </row>
    <row r="524" spans="2:9" ht="18.75" customHeight="1" x14ac:dyDescent="0.55000000000000004">
      <c r="B524" s="27">
        <v>259</v>
      </c>
      <c r="C524" s="72" t="s">
        <v>731</v>
      </c>
      <c r="D524" s="117" t="s">
        <v>50</v>
      </c>
      <c r="E524" s="18" t="s">
        <v>824</v>
      </c>
      <c r="F524" s="30">
        <f>17800*1.07</f>
        <v>19046</v>
      </c>
      <c r="G524" s="138">
        <v>242871</v>
      </c>
      <c r="H524" s="155" t="s">
        <v>1008</v>
      </c>
      <c r="I524" s="46">
        <v>1</v>
      </c>
    </row>
    <row r="525" spans="2:9" ht="18.75" customHeight="1" x14ac:dyDescent="0.55000000000000004">
      <c r="B525" s="32"/>
      <c r="C525" s="32"/>
      <c r="D525" s="69"/>
      <c r="E525" s="13"/>
      <c r="F525" s="66"/>
      <c r="G525" s="32"/>
      <c r="H525" s="153"/>
      <c r="I525" s="47"/>
    </row>
    <row r="526" spans="2:9" ht="18.75" customHeight="1" x14ac:dyDescent="0.55000000000000004">
      <c r="B526" s="27">
        <v>260</v>
      </c>
      <c r="C526" s="72" t="s">
        <v>731</v>
      </c>
      <c r="D526" s="117" t="s">
        <v>50</v>
      </c>
      <c r="E526" s="18" t="s">
        <v>825</v>
      </c>
      <c r="F526" s="30">
        <f>425*1.07</f>
        <v>454.75</v>
      </c>
      <c r="G526" s="138">
        <v>242871</v>
      </c>
      <c r="H526" s="155" t="s">
        <v>1007</v>
      </c>
      <c r="I526" s="46">
        <v>1</v>
      </c>
    </row>
    <row r="527" spans="2:9" ht="18.75" customHeight="1" x14ac:dyDescent="0.55000000000000004">
      <c r="B527" s="32"/>
      <c r="C527" s="32"/>
      <c r="D527" s="69"/>
      <c r="E527" s="13"/>
      <c r="F527" s="66"/>
      <c r="G527" s="32"/>
      <c r="H527" s="153"/>
      <c r="I527" s="47"/>
    </row>
    <row r="528" spans="2:9" ht="18.75" customHeight="1" x14ac:dyDescent="0.55000000000000004">
      <c r="B528" s="27">
        <v>261</v>
      </c>
      <c r="C528" s="28" t="s">
        <v>312</v>
      </c>
      <c r="D528" s="29" t="s">
        <v>55</v>
      </c>
      <c r="E528" s="18" t="s">
        <v>826</v>
      </c>
      <c r="F528" s="30">
        <f>88500*1.07</f>
        <v>94695</v>
      </c>
      <c r="G528" s="138">
        <v>242872</v>
      </c>
      <c r="H528" s="155" t="s">
        <v>827</v>
      </c>
      <c r="I528" s="46">
        <v>1</v>
      </c>
    </row>
    <row r="529" spans="2:9" ht="18.75" customHeight="1" x14ac:dyDescent="0.55000000000000004">
      <c r="B529" s="32"/>
      <c r="C529" s="33"/>
      <c r="D529" s="37"/>
      <c r="E529" s="13"/>
      <c r="F529" s="66"/>
      <c r="G529" s="32"/>
      <c r="H529" s="153"/>
      <c r="I529" s="47"/>
    </row>
    <row r="530" spans="2:9" ht="18.75" customHeight="1" x14ac:dyDescent="0.55000000000000004">
      <c r="B530" s="27">
        <v>262</v>
      </c>
      <c r="C530" s="72" t="s">
        <v>828</v>
      </c>
      <c r="D530" s="137" t="s">
        <v>6</v>
      </c>
      <c r="E530" s="18" t="s">
        <v>829</v>
      </c>
      <c r="F530" s="30">
        <f>25600*1.07</f>
        <v>27392</v>
      </c>
      <c r="G530" s="138">
        <v>242872</v>
      </c>
      <c r="H530" s="155" t="s">
        <v>830</v>
      </c>
      <c r="I530" s="46">
        <v>1</v>
      </c>
    </row>
    <row r="531" spans="2:9" ht="18.75" customHeight="1" x14ac:dyDescent="0.55000000000000004">
      <c r="B531" s="32"/>
      <c r="C531" s="32"/>
      <c r="D531" s="69"/>
      <c r="E531" s="13"/>
      <c r="F531" s="66"/>
      <c r="G531" s="32"/>
      <c r="H531" s="153"/>
      <c r="I531" s="47"/>
    </row>
    <row r="532" spans="2:9" ht="18.75" customHeight="1" x14ac:dyDescent="0.55000000000000004">
      <c r="B532" s="27">
        <v>263</v>
      </c>
      <c r="C532" s="72" t="s">
        <v>828</v>
      </c>
      <c r="D532" s="137" t="s">
        <v>6</v>
      </c>
      <c r="E532" s="18" t="s">
        <v>831</v>
      </c>
      <c r="F532" s="30">
        <f>56000*1.07</f>
        <v>59920</v>
      </c>
      <c r="G532" s="138">
        <v>242872</v>
      </c>
      <c r="H532" s="155" t="s">
        <v>832</v>
      </c>
      <c r="I532" s="46">
        <v>1</v>
      </c>
    </row>
    <row r="533" spans="2:9" ht="18.75" customHeight="1" x14ac:dyDescent="0.55000000000000004">
      <c r="B533" s="32"/>
      <c r="C533" s="32"/>
      <c r="D533" s="69"/>
      <c r="E533" s="13"/>
      <c r="F533" s="66"/>
      <c r="G533" s="32"/>
      <c r="H533" s="153"/>
      <c r="I533" s="47"/>
    </row>
    <row r="534" spans="2:9" ht="18.75" customHeight="1" x14ac:dyDescent="0.55000000000000004">
      <c r="B534" s="27">
        <v>264</v>
      </c>
      <c r="C534" s="72" t="s">
        <v>384</v>
      </c>
      <c r="D534" s="137" t="s">
        <v>53</v>
      </c>
      <c r="E534" s="18" t="s">
        <v>833</v>
      </c>
      <c r="F534" s="30">
        <f>56400*1.07</f>
        <v>60348</v>
      </c>
      <c r="G534" s="138">
        <v>242872</v>
      </c>
      <c r="H534" s="155" t="s">
        <v>834</v>
      </c>
      <c r="I534" s="46">
        <v>1</v>
      </c>
    </row>
    <row r="535" spans="2:9" ht="18.75" customHeight="1" x14ac:dyDescent="0.55000000000000004">
      <c r="B535" s="32"/>
      <c r="C535" s="32"/>
      <c r="D535" s="69"/>
      <c r="E535" s="13"/>
      <c r="F535" s="66"/>
      <c r="G535" s="32"/>
      <c r="H535" s="153"/>
      <c r="I535" s="47"/>
    </row>
    <row r="536" spans="2:9" ht="22.5" customHeight="1" x14ac:dyDescent="0.55000000000000004">
      <c r="B536" s="27">
        <v>265</v>
      </c>
      <c r="C536" s="72" t="s">
        <v>464</v>
      </c>
      <c r="D536" s="137" t="s">
        <v>835</v>
      </c>
      <c r="E536" s="18" t="s">
        <v>836</v>
      </c>
      <c r="F536" s="30">
        <f>8700*1.07</f>
        <v>9309</v>
      </c>
      <c r="G536" s="138">
        <v>242872</v>
      </c>
      <c r="H536" s="155" t="s">
        <v>1011</v>
      </c>
      <c r="I536" s="46">
        <v>1</v>
      </c>
    </row>
    <row r="537" spans="2:9" ht="18" customHeight="1" x14ac:dyDescent="0.55000000000000004">
      <c r="B537" s="32"/>
      <c r="C537" s="32"/>
      <c r="D537" s="69"/>
      <c r="E537" s="13"/>
      <c r="F537" s="66"/>
      <c r="G537" s="32"/>
      <c r="H537" s="153"/>
      <c r="I537" s="47"/>
    </row>
    <row r="538" spans="2:9" ht="22.5" customHeight="1" x14ac:dyDescent="0.55000000000000004">
      <c r="B538" s="27">
        <v>266</v>
      </c>
      <c r="C538" s="72" t="s">
        <v>837</v>
      </c>
      <c r="D538" s="137" t="s">
        <v>838</v>
      </c>
      <c r="E538" s="18" t="s">
        <v>839</v>
      </c>
      <c r="F538" s="30">
        <f>8134*1.07</f>
        <v>8703.380000000001</v>
      </c>
      <c r="G538" s="138">
        <v>242872</v>
      </c>
      <c r="H538" s="155" t="s">
        <v>1012</v>
      </c>
      <c r="I538" s="46">
        <v>1</v>
      </c>
    </row>
    <row r="539" spans="2:9" ht="20.25" customHeight="1" x14ac:dyDescent="0.55000000000000004">
      <c r="B539" s="32"/>
      <c r="C539" s="32"/>
      <c r="D539" s="69"/>
      <c r="E539" s="13"/>
      <c r="F539" s="66"/>
      <c r="G539" s="32"/>
      <c r="H539" s="153"/>
      <c r="I539" s="47"/>
    </row>
    <row r="540" spans="2:9" ht="22.5" customHeight="1" x14ac:dyDescent="0.55000000000000004">
      <c r="B540" s="27">
        <v>267</v>
      </c>
      <c r="C540" s="72" t="s">
        <v>62</v>
      </c>
      <c r="D540" s="137" t="s">
        <v>24</v>
      </c>
      <c r="E540" s="18" t="s">
        <v>840</v>
      </c>
      <c r="F540" s="30">
        <f>16090*1.07</f>
        <v>17216.3</v>
      </c>
      <c r="G540" s="138">
        <v>242872</v>
      </c>
      <c r="H540" s="155" t="s">
        <v>841</v>
      </c>
      <c r="I540" s="46">
        <v>1</v>
      </c>
    </row>
    <row r="541" spans="2:9" ht="20.25" customHeight="1" x14ac:dyDescent="0.55000000000000004">
      <c r="B541" s="32"/>
      <c r="C541" s="32"/>
      <c r="D541" s="69" t="s">
        <v>107</v>
      </c>
      <c r="E541" s="13" t="s">
        <v>734</v>
      </c>
      <c r="F541" s="66"/>
      <c r="G541" s="32"/>
      <c r="H541" s="153"/>
      <c r="I541" s="47"/>
    </row>
    <row r="542" spans="2:9" ht="27" customHeight="1" x14ac:dyDescent="0.55000000000000004">
      <c r="B542" s="27">
        <v>268</v>
      </c>
      <c r="C542" s="72" t="s">
        <v>726</v>
      </c>
      <c r="D542" s="137" t="s">
        <v>727</v>
      </c>
      <c r="E542" s="18" t="s">
        <v>842</v>
      </c>
      <c r="F542" s="30">
        <f>3960*1.07</f>
        <v>4237.2</v>
      </c>
      <c r="G542" s="138">
        <v>242873</v>
      </c>
      <c r="H542" s="155" t="s">
        <v>843</v>
      </c>
      <c r="I542" s="46">
        <v>1</v>
      </c>
    </row>
    <row r="543" spans="2:9" ht="19.5" customHeight="1" x14ac:dyDescent="0.55000000000000004">
      <c r="B543" s="32"/>
      <c r="C543" s="32"/>
      <c r="D543" s="69"/>
      <c r="E543" s="13" t="s">
        <v>822</v>
      </c>
      <c r="F543" s="66"/>
      <c r="G543" s="32"/>
      <c r="H543" s="153"/>
      <c r="I543" s="47"/>
    </row>
    <row r="544" spans="2:9" ht="22.5" customHeight="1" x14ac:dyDescent="0.55000000000000004">
      <c r="B544" s="27">
        <v>269</v>
      </c>
      <c r="C544" s="72" t="s">
        <v>62</v>
      </c>
      <c r="D544" s="137" t="s">
        <v>24</v>
      </c>
      <c r="E544" s="18" t="s">
        <v>844</v>
      </c>
      <c r="F544" s="30">
        <f>29100*1.07</f>
        <v>31137</v>
      </c>
      <c r="G544" s="138">
        <v>242873</v>
      </c>
      <c r="H544" s="155" t="s">
        <v>845</v>
      </c>
      <c r="I544" s="46">
        <v>1</v>
      </c>
    </row>
    <row r="545" spans="2:9" ht="22.5" customHeight="1" x14ac:dyDescent="0.55000000000000004">
      <c r="B545" s="32"/>
      <c r="C545" s="32"/>
      <c r="D545" s="69" t="s">
        <v>107</v>
      </c>
      <c r="E545" s="13" t="s">
        <v>822</v>
      </c>
      <c r="F545" s="66"/>
      <c r="G545" s="32"/>
      <c r="H545" s="153"/>
      <c r="I545" s="47"/>
    </row>
    <row r="546" spans="2:9" ht="22.5" customHeight="1" x14ac:dyDescent="0.55000000000000004">
      <c r="B546" s="27">
        <v>270</v>
      </c>
      <c r="C546" s="72" t="s">
        <v>464</v>
      </c>
      <c r="D546" s="137" t="s">
        <v>835</v>
      </c>
      <c r="E546" s="18" t="s">
        <v>846</v>
      </c>
      <c r="F546" s="30">
        <f>1400*1.07</f>
        <v>1498</v>
      </c>
      <c r="G546" s="138">
        <v>242873</v>
      </c>
      <c r="H546" s="155" t="s">
        <v>1013</v>
      </c>
      <c r="I546" s="46">
        <v>1</v>
      </c>
    </row>
    <row r="547" spans="2:9" ht="18.75" customHeight="1" x14ac:dyDescent="0.55000000000000004">
      <c r="B547" s="32"/>
      <c r="C547" s="32"/>
      <c r="D547" s="69"/>
      <c r="E547" s="13"/>
      <c r="F547" s="66"/>
      <c r="G547" s="32"/>
      <c r="H547" s="153"/>
      <c r="I547" s="47"/>
    </row>
    <row r="548" spans="2:9" ht="22.5" customHeight="1" x14ac:dyDescent="0.55000000000000004">
      <c r="B548" s="27">
        <v>271</v>
      </c>
      <c r="C548" s="72" t="s">
        <v>336</v>
      </c>
      <c r="D548" s="137" t="s">
        <v>847</v>
      </c>
      <c r="E548" s="18" t="s">
        <v>848</v>
      </c>
      <c r="F548" s="30">
        <f>5770*1.07</f>
        <v>6173.9000000000005</v>
      </c>
      <c r="G548" s="138">
        <v>242873</v>
      </c>
      <c r="H548" s="155" t="s">
        <v>849</v>
      </c>
      <c r="I548" s="46">
        <v>1</v>
      </c>
    </row>
    <row r="549" spans="2:9" ht="22.5" customHeight="1" x14ac:dyDescent="0.55000000000000004">
      <c r="B549" s="32"/>
      <c r="C549" s="32"/>
      <c r="D549" s="69"/>
      <c r="E549" s="13" t="s">
        <v>822</v>
      </c>
      <c r="F549" s="66"/>
      <c r="G549" s="32"/>
      <c r="H549" s="153"/>
      <c r="I549" s="47"/>
    </row>
    <row r="550" spans="2:9" ht="22.5" customHeight="1" x14ac:dyDescent="0.55000000000000004">
      <c r="B550" s="27">
        <v>272</v>
      </c>
      <c r="C550" s="72" t="s">
        <v>75</v>
      </c>
      <c r="D550" s="137" t="s">
        <v>1057</v>
      </c>
      <c r="E550" s="18" t="s">
        <v>850</v>
      </c>
      <c r="F550" s="30">
        <f>45864*1.07</f>
        <v>49074.48</v>
      </c>
      <c r="G550" s="138">
        <v>242873</v>
      </c>
      <c r="H550" s="155" t="s">
        <v>851</v>
      </c>
      <c r="I550" s="46">
        <v>1</v>
      </c>
    </row>
    <row r="551" spans="2:9" ht="22.5" customHeight="1" x14ac:dyDescent="0.55000000000000004">
      <c r="B551" s="32"/>
      <c r="C551" s="32"/>
      <c r="D551" s="69" t="s">
        <v>110</v>
      </c>
      <c r="E551" s="13" t="s">
        <v>822</v>
      </c>
      <c r="F551" s="66"/>
      <c r="G551" s="32"/>
      <c r="H551" s="153"/>
      <c r="I551" s="47"/>
    </row>
    <row r="552" spans="2:9" ht="22.5" customHeight="1" x14ac:dyDescent="0.55000000000000004">
      <c r="B552" s="27">
        <v>273</v>
      </c>
      <c r="C552" s="72" t="s">
        <v>336</v>
      </c>
      <c r="D552" s="137" t="s">
        <v>11</v>
      </c>
      <c r="E552" s="18" t="s">
        <v>852</v>
      </c>
      <c r="F552" s="30">
        <f>90120*1.07</f>
        <v>96428.400000000009</v>
      </c>
      <c r="G552" s="138">
        <v>242874</v>
      </c>
      <c r="H552" s="155" t="s">
        <v>853</v>
      </c>
      <c r="I552" s="46">
        <v>1</v>
      </c>
    </row>
    <row r="553" spans="2:9" ht="22.5" customHeight="1" x14ac:dyDescent="0.55000000000000004">
      <c r="B553" s="32"/>
      <c r="C553" s="32"/>
      <c r="D553" s="69"/>
      <c r="E553" s="13" t="s">
        <v>854</v>
      </c>
      <c r="F553" s="66"/>
      <c r="G553" s="32"/>
      <c r="H553" s="153"/>
      <c r="I553" s="47"/>
    </row>
    <row r="554" spans="2:9" ht="22.5" customHeight="1" x14ac:dyDescent="0.55000000000000004">
      <c r="B554" s="27">
        <v>274</v>
      </c>
      <c r="C554" s="72" t="s">
        <v>777</v>
      </c>
      <c r="D554" s="137" t="s">
        <v>23</v>
      </c>
      <c r="E554" s="18" t="s">
        <v>605</v>
      </c>
      <c r="F554" s="30">
        <f>2760*1.07</f>
        <v>2953.2000000000003</v>
      </c>
      <c r="G554" s="138">
        <v>242874</v>
      </c>
      <c r="H554" s="155" t="s">
        <v>1015</v>
      </c>
      <c r="I554" s="46">
        <v>1</v>
      </c>
    </row>
    <row r="555" spans="2:9" ht="19.5" customHeight="1" x14ac:dyDescent="0.55000000000000004">
      <c r="B555" s="32"/>
      <c r="C555" s="32"/>
      <c r="D555" s="69"/>
      <c r="E555" s="13"/>
      <c r="F555" s="66"/>
      <c r="G555" s="32"/>
      <c r="H555" s="153"/>
      <c r="I555" s="47"/>
    </row>
    <row r="556" spans="2:9" ht="22.5" customHeight="1" x14ac:dyDescent="0.55000000000000004">
      <c r="B556" s="27">
        <v>275</v>
      </c>
      <c r="C556" s="72" t="s">
        <v>855</v>
      </c>
      <c r="D556" s="137" t="s">
        <v>856</v>
      </c>
      <c r="E556" s="18" t="s">
        <v>857</v>
      </c>
      <c r="F556" s="30">
        <f>38000*1.07</f>
        <v>40660</v>
      </c>
      <c r="G556" s="138">
        <v>242874</v>
      </c>
      <c r="H556" s="155" t="s">
        <v>1014</v>
      </c>
      <c r="I556" s="46">
        <v>1</v>
      </c>
    </row>
    <row r="557" spans="2:9" ht="22.5" customHeight="1" x14ac:dyDescent="0.55000000000000004">
      <c r="B557" s="32"/>
      <c r="C557" s="32"/>
      <c r="D557" s="69"/>
      <c r="E557" s="13" t="s">
        <v>858</v>
      </c>
      <c r="F557" s="66"/>
      <c r="G557" s="32"/>
      <c r="H557" s="153"/>
      <c r="I557" s="47"/>
    </row>
    <row r="558" spans="2:9" ht="22.5" customHeight="1" x14ac:dyDescent="0.55000000000000004">
      <c r="B558" s="27">
        <v>276</v>
      </c>
      <c r="C558" s="72" t="s">
        <v>102</v>
      </c>
      <c r="D558" s="137" t="s">
        <v>103</v>
      </c>
      <c r="E558" s="18" t="s">
        <v>859</v>
      </c>
      <c r="F558" s="30">
        <f>40000*1.07</f>
        <v>42800</v>
      </c>
      <c r="G558" s="138">
        <v>242877</v>
      </c>
      <c r="H558" s="155" t="s">
        <v>860</v>
      </c>
      <c r="I558" s="46">
        <v>1</v>
      </c>
    </row>
    <row r="559" spans="2:9" ht="22.5" customHeight="1" x14ac:dyDescent="0.55000000000000004">
      <c r="B559" s="32"/>
      <c r="C559" s="32"/>
      <c r="D559" s="69"/>
      <c r="E559" s="13" t="s">
        <v>861</v>
      </c>
      <c r="F559" s="66"/>
      <c r="G559" s="32"/>
      <c r="H559" s="153"/>
      <c r="I559" s="47"/>
    </row>
    <row r="560" spans="2:9" ht="22.5" customHeight="1" x14ac:dyDescent="0.55000000000000004">
      <c r="B560" s="27">
        <v>277</v>
      </c>
      <c r="C560" s="72" t="s">
        <v>495</v>
      </c>
      <c r="D560" s="137" t="s">
        <v>862</v>
      </c>
      <c r="E560" s="18" t="s">
        <v>863</v>
      </c>
      <c r="F560" s="30">
        <f>48000*1.07</f>
        <v>51360</v>
      </c>
      <c r="G560" s="138">
        <v>242877</v>
      </c>
      <c r="H560" s="155" t="s">
        <v>864</v>
      </c>
      <c r="I560" s="46">
        <v>1</v>
      </c>
    </row>
    <row r="561" spans="2:9" ht="22.5" customHeight="1" x14ac:dyDescent="0.55000000000000004">
      <c r="B561" s="32"/>
      <c r="C561" s="32"/>
      <c r="D561" s="69"/>
      <c r="E561" s="13" t="s">
        <v>865</v>
      </c>
      <c r="F561" s="66"/>
      <c r="G561" s="32"/>
      <c r="H561" s="153"/>
      <c r="I561" s="47"/>
    </row>
    <row r="562" spans="2:9" ht="22.5" customHeight="1" x14ac:dyDescent="0.55000000000000004">
      <c r="B562" s="27">
        <v>278</v>
      </c>
      <c r="C562" s="72" t="s">
        <v>702</v>
      </c>
      <c r="D562" s="137" t="s">
        <v>866</v>
      </c>
      <c r="E562" s="18" t="s">
        <v>867</v>
      </c>
      <c r="F562" s="30">
        <f>7500*1.07</f>
        <v>8025.0000000000009</v>
      </c>
      <c r="G562" s="138">
        <v>242877</v>
      </c>
      <c r="H562" s="155" t="s">
        <v>868</v>
      </c>
      <c r="I562" s="46">
        <v>1</v>
      </c>
    </row>
    <row r="563" spans="2:9" ht="22.5" customHeight="1" x14ac:dyDescent="0.55000000000000004">
      <c r="B563" s="32"/>
      <c r="C563" s="32"/>
      <c r="D563" s="69"/>
      <c r="E563" s="13"/>
      <c r="F563" s="66"/>
      <c r="G563" s="32"/>
      <c r="H563" s="153"/>
      <c r="I563" s="47"/>
    </row>
    <row r="564" spans="2:9" ht="22.5" customHeight="1" x14ac:dyDescent="0.55000000000000004">
      <c r="B564" s="27">
        <v>279</v>
      </c>
      <c r="C564" s="72" t="s">
        <v>869</v>
      </c>
      <c r="D564" s="137" t="s">
        <v>870</v>
      </c>
      <c r="E564" s="18" t="s">
        <v>871</v>
      </c>
      <c r="F564" s="30">
        <f>11000*1.07</f>
        <v>11770</v>
      </c>
      <c r="G564" s="138">
        <v>242877</v>
      </c>
      <c r="H564" s="155" t="s">
        <v>872</v>
      </c>
      <c r="I564" s="46">
        <v>1</v>
      </c>
    </row>
    <row r="565" spans="2:9" ht="23.25" customHeight="1" x14ac:dyDescent="0.55000000000000004">
      <c r="B565" s="32"/>
      <c r="C565" s="32"/>
      <c r="D565" s="69"/>
      <c r="E565" s="13" t="s">
        <v>873</v>
      </c>
      <c r="F565" s="66"/>
      <c r="G565" s="32"/>
      <c r="H565" s="153"/>
      <c r="I565" s="47"/>
    </row>
    <row r="566" spans="2:9" ht="22.5" customHeight="1" x14ac:dyDescent="0.55000000000000004">
      <c r="B566" s="27">
        <v>280</v>
      </c>
      <c r="C566" s="72" t="s">
        <v>121</v>
      </c>
      <c r="D566" s="137" t="s">
        <v>874</v>
      </c>
      <c r="E566" s="18" t="s">
        <v>875</v>
      </c>
      <c r="F566" s="30">
        <f>1440*1.07</f>
        <v>1540.8000000000002</v>
      </c>
      <c r="G566" s="138">
        <v>242877</v>
      </c>
      <c r="H566" s="167" t="s">
        <v>876</v>
      </c>
      <c r="I566" s="27">
        <v>1</v>
      </c>
    </row>
    <row r="567" spans="2:9" ht="22.5" customHeight="1" x14ac:dyDescent="0.55000000000000004">
      <c r="B567" s="32"/>
      <c r="C567" s="32"/>
      <c r="D567" s="140"/>
      <c r="E567" s="13" t="s">
        <v>877</v>
      </c>
      <c r="F567" s="66"/>
      <c r="G567" s="32"/>
      <c r="H567" s="165"/>
      <c r="I567" s="32"/>
    </row>
    <row r="568" spans="2:9" ht="22.5" customHeight="1" x14ac:dyDescent="0.55000000000000004">
      <c r="B568" s="27">
        <v>281</v>
      </c>
      <c r="C568" s="72" t="s">
        <v>777</v>
      </c>
      <c r="D568" s="142" t="s">
        <v>23</v>
      </c>
      <c r="E568" s="18" t="s">
        <v>878</v>
      </c>
      <c r="F568" s="30">
        <f>15200*1.07</f>
        <v>16264.000000000002</v>
      </c>
      <c r="G568" s="138">
        <v>242877</v>
      </c>
      <c r="H568" s="159" t="s">
        <v>1016</v>
      </c>
      <c r="I568" s="27">
        <v>1</v>
      </c>
    </row>
    <row r="569" spans="2:9" ht="20.25" customHeight="1" x14ac:dyDescent="0.55000000000000004">
      <c r="B569" s="32"/>
      <c r="C569" s="32"/>
      <c r="D569" s="143"/>
      <c r="E569" s="13" t="s">
        <v>1060</v>
      </c>
      <c r="F569" s="66"/>
      <c r="G569" s="32"/>
      <c r="H569" s="160"/>
      <c r="I569" s="32"/>
    </row>
    <row r="570" spans="2:9" ht="22.5" customHeight="1" x14ac:dyDescent="0.55000000000000004">
      <c r="B570" s="27">
        <v>282</v>
      </c>
      <c r="C570" s="72" t="s">
        <v>62</v>
      </c>
      <c r="D570" s="137" t="s">
        <v>24</v>
      </c>
      <c r="E570" s="18" t="s">
        <v>879</v>
      </c>
      <c r="F570" s="30">
        <f>39620*1.07</f>
        <v>42393.4</v>
      </c>
      <c r="G570" s="138">
        <v>242878</v>
      </c>
      <c r="H570" s="159" t="s">
        <v>880</v>
      </c>
      <c r="I570" s="27">
        <v>1</v>
      </c>
    </row>
    <row r="571" spans="2:9" ht="25.5" customHeight="1" x14ac:dyDescent="0.55000000000000004">
      <c r="B571" s="32"/>
      <c r="C571" s="32"/>
      <c r="D571" s="69" t="s">
        <v>107</v>
      </c>
      <c r="E571" s="13" t="s">
        <v>881</v>
      </c>
      <c r="F571" s="66"/>
      <c r="G571" s="32"/>
      <c r="H571" s="160"/>
      <c r="I571" s="32"/>
    </row>
    <row r="572" spans="2:9" ht="22.5" customHeight="1" x14ac:dyDescent="0.55000000000000004">
      <c r="B572" s="27">
        <v>283</v>
      </c>
      <c r="C572" s="72" t="s">
        <v>882</v>
      </c>
      <c r="D572" s="142" t="s">
        <v>444</v>
      </c>
      <c r="E572" s="18" t="s">
        <v>883</v>
      </c>
      <c r="F572" s="30">
        <f>6900*1.07</f>
        <v>7383</v>
      </c>
      <c r="G572" s="138">
        <v>242878</v>
      </c>
      <c r="H572" s="159" t="s">
        <v>884</v>
      </c>
      <c r="I572" s="27">
        <v>1</v>
      </c>
    </row>
    <row r="573" spans="2:9" ht="20.25" customHeight="1" x14ac:dyDescent="0.55000000000000004">
      <c r="B573" s="32"/>
      <c r="C573" s="32"/>
      <c r="D573" s="143"/>
      <c r="E573" s="13"/>
      <c r="F573" s="66"/>
      <c r="G573" s="32"/>
      <c r="H573" s="160"/>
      <c r="I573" s="32"/>
    </row>
    <row r="574" spans="2:9" ht="22.5" customHeight="1" x14ac:dyDescent="0.55000000000000004">
      <c r="B574" s="27">
        <v>284</v>
      </c>
      <c r="C574" s="72" t="s">
        <v>885</v>
      </c>
      <c r="D574" s="142" t="s">
        <v>886</v>
      </c>
      <c r="E574" s="18" t="s">
        <v>887</v>
      </c>
      <c r="F574" s="30">
        <f>15000*1.07</f>
        <v>16050.000000000002</v>
      </c>
      <c r="G574" s="138">
        <v>242878</v>
      </c>
      <c r="H574" s="159" t="s">
        <v>888</v>
      </c>
      <c r="I574" s="27">
        <v>1</v>
      </c>
    </row>
    <row r="575" spans="2:9" ht="22.5" customHeight="1" x14ac:dyDescent="0.55000000000000004">
      <c r="B575" s="32"/>
      <c r="C575" s="32"/>
      <c r="D575" s="143"/>
      <c r="E575" s="13" t="s">
        <v>889</v>
      </c>
      <c r="F575" s="66"/>
      <c r="G575" s="32"/>
      <c r="H575" s="160"/>
      <c r="I575" s="32"/>
    </row>
    <row r="576" spans="2:9" ht="22.5" customHeight="1" x14ac:dyDescent="0.55000000000000004">
      <c r="B576" s="27">
        <v>285</v>
      </c>
      <c r="C576" s="72" t="s">
        <v>702</v>
      </c>
      <c r="D576" s="142" t="s">
        <v>14</v>
      </c>
      <c r="E576" s="18" t="s">
        <v>890</v>
      </c>
      <c r="F576" s="92">
        <f>1380*1.07</f>
        <v>1476.6000000000001</v>
      </c>
      <c r="G576" s="138">
        <v>242878</v>
      </c>
      <c r="H576" s="159" t="s">
        <v>891</v>
      </c>
      <c r="I576" s="27">
        <v>1</v>
      </c>
    </row>
    <row r="577" spans="2:9" ht="22.5" customHeight="1" x14ac:dyDescent="0.55000000000000004">
      <c r="B577" s="32"/>
      <c r="C577" s="32"/>
      <c r="D577" s="143"/>
      <c r="E577" s="13" t="s">
        <v>822</v>
      </c>
      <c r="F577" s="111"/>
      <c r="G577" s="32"/>
      <c r="H577" s="160"/>
      <c r="I577" s="32"/>
    </row>
    <row r="578" spans="2:9" ht="22.5" customHeight="1" x14ac:dyDescent="0.55000000000000004">
      <c r="B578" s="27">
        <v>286</v>
      </c>
      <c r="C578" s="72" t="s">
        <v>698</v>
      </c>
      <c r="D578" s="142" t="s">
        <v>892</v>
      </c>
      <c r="E578" s="38" t="s">
        <v>893</v>
      </c>
      <c r="F578" s="92">
        <f>41300*1.07</f>
        <v>44191</v>
      </c>
      <c r="G578" s="138">
        <v>242878</v>
      </c>
      <c r="H578" s="159" t="s">
        <v>1017</v>
      </c>
      <c r="I578" s="27">
        <v>1</v>
      </c>
    </row>
    <row r="579" spans="2:9" ht="22.5" customHeight="1" x14ac:dyDescent="0.55000000000000004">
      <c r="B579" s="32"/>
      <c r="C579" s="32"/>
      <c r="D579" s="143"/>
      <c r="E579" s="13"/>
      <c r="F579" s="111"/>
      <c r="G579" s="32"/>
      <c r="H579" s="160"/>
      <c r="I579" s="32"/>
    </row>
    <row r="580" spans="2:9" ht="22.5" customHeight="1" x14ac:dyDescent="0.55000000000000004">
      <c r="B580" s="27">
        <v>287</v>
      </c>
      <c r="C580" s="72" t="s">
        <v>894</v>
      </c>
      <c r="D580" s="142" t="s">
        <v>895</v>
      </c>
      <c r="E580" s="18" t="s">
        <v>1058</v>
      </c>
      <c r="F580" s="92">
        <f>13600*1.07</f>
        <v>14552</v>
      </c>
      <c r="G580" s="138">
        <v>242878</v>
      </c>
      <c r="H580" s="159" t="s">
        <v>1018</v>
      </c>
      <c r="I580" s="27">
        <v>1</v>
      </c>
    </row>
    <row r="581" spans="2:9" ht="18" customHeight="1" x14ac:dyDescent="0.55000000000000004">
      <c r="B581" s="32"/>
      <c r="C581" s="32"/>
      <c r="D581" s="143"/>
      <c r="E581" s="13"/>
      <c r="F581" s="100"/>
      <c r="G581" s="32"/>
      <c r="H581" s="160"/>
      <c r="I581" s="32"/>
    </row>
    <row r="582" spans="2:9" ht="22.5" customHeight="1" x14ac:dyDescent="0.55000000000000004">
      <c r="B582" s="27">
        <v>288</v>
      </c>
      <c r="C582" s="136" t="s">
        <v>63</v>
      </c>
      <c r="D582" s="144" t="s">
        <v>896</v>
      </c>
      <c r="E582" s="38" t="s">
        <v>897</v>
      </c>
      <c r="F582" s="92">
        <f>17800*1.07</f>
        <v>19046</v>
      </c>
      <c r="G582" s="141">
        <v>242879</v>
      </c>
      <c r="H582" s="164" t="s">
        <v>1019</v>
      </c>
      <c r="I582" s="70">
        <v>1</v>
      </c>
    </row>
    <row r="583" spans="2:9" ht="22.5" customHeight="1" x14ac:dyDescent="0.55000000000000004">
      <c r="B583" s="32"/>
      <c r="C583" s="70"/>
      <c r="D583" s="144"/>
      <c r="E583" s="13" t="s">
        <v>822</v>
      </c>
      <c r="F583" s="100"/>
      <c r="G583" s="32"/>
      <c r="H583" s="160"/>
      <c r="I583" s="70"/>
    </row>
    <row r="584" spans="2:9" ht="22.5" customHeight="1" x14ac:dyDescent="0.55000000000000004">
      <c r="B584" s="27">
        <v>289</v>
      </c>
      <c r="C584" s="208" t="s">
        <v>45</v>
      </c>
      <c r="D584" s="145" t="s">
        <v>898</v>
      </c>
      <c r="E584" s="18" t="s">
        <v>1059</v>
      </c>
      <c r="F584" s="99">
        <f>58600*1.07</f>
        <v>62702.000000000007</v>
      </c>
      <c r="G584" s="138">
        <v>242879</v>
      </c>
      <c r="H584" s="155" t="s">
        <v>1020</v>
      </c>
      <c r="I584" s="27">
        <v>1</v>
      </c>
    </row>
    <row r="585" spans="2:9" ht="21.75" customHeight="1" x14ac:dyDescent="0.55000000000000004">
      <c r="B585" s="32"/>
      <c r="C585" s="210"/>
      <c r="D585" s="104"/>
      <c r="E585" s="13" t="s">
        <v>738</v>
      </c>
      <c r="F585" s="211"/>
      <c r="G585" s="209"/>
      <c r="H585" s="153"/>
      <c r="I585" s="32"/>
    </row>
    <row r="586" spans="2:9" ht="22.5" customHeight="1" x14ac:dyDescent="0.55000000000000004">
      <c r="B586" s="27">
        <v>290</v>
      </c>
      <c r="C586" s="72" t="s">
        <v>899</v>
      </c>
      <c r="D586" s="142" t="s">
        <v>535</v>
      </c>
      <c r="E586" s="18" t="s">
        <v>900</v>
      </c>
      <c r="F586" s="92">
        <f>12400*1.07</f>
        <v>13268</v>
      </c>
      <c r="G586" s="138">
        <v>242879</v>
      </c>
      <c r="H586" s="159" t="s">
        <v>901</v>
      </c>
      <c r="I586" s="27">
        <v>1</v>
      </c>
    </row>
    <row r="587" spans="2:9" ht="20.25" customHeight="1" x14ac:dyDescent="0.55000000000000004">
      <c r="B587" s="32"/>
      <c r="C587" s="32"/>
      <c r="D587" s="143" t="s">
        <v>107</v>
      </c>
      <c r="E587" s="13"/>
      <c r="F587" s="111"/>
      <c r="G587" s="32"/>
      <c r="H587" s="160"/>
      <c r="I587" s="32"/>
    </row>
    <row r="588" spans="2:9" ht="22.5" customHeight="1" x14ac:dyDescent="0.55000000000000004">
      <c r="B588" s="27">
        <v>291</v>
      </c>
      <c r="C588" s="72" t="s">
        <v>902</v>
      </c>
      <c r="D588" s="142" t="s">
        <v>903</v>
      </c>
      <c r="E588" s="18" t="s">
        <v>904</v>
      </c>
      <c r="F588" s="92">
        <f>7000*1.07</f>
        <v>7490</v>
      </c>
      <c r="G588" s="138">
        <v>242879</v>
      </c>
      <c r="H588" s="159" t="s">
        <v>905</v>
      </c>
      <c r="I588" s="27">
        <v>1</v>
      </c>
    </row>
    <row r="589" spans="2:9" ht="20.25" customHeight="1" x14ac:dyDescent="0.55000000000000004">
      <c r="B589" s="32"/>
      <c r="C589" s="32"/>
      <c r="D589" s="143"/>
      <c r="E589" s="13"/>
      <c r="F589" s="111"/>
      <c r="G589" s="32"/>
      <c r="H589" s="160"/>
      <c r="I589" s="32"/>
    </row>
    <row r="590" spans="2:9" ht="22.5" customHeight="1" x14ac:dyDescent="0.55000000000000004">
      <c r="B590" s="27">
        <v>292</v>
      </c>
      <c r="C590" s="72" t="s">
        <v>902</v>
      </c>
      <c r="D590" s="142" t="s">
        <v>906</v>
      </c>
      <c r="E590" s="18" t="s">
        <v>1061</v>
      </c>
      <c r="F590" s="92">
        <f>21000*1.07</f>
        <v>22470</v>
      </c>
      <c r="G590" s="138">
        <v>242879</v>
      </c>
      <c r="H590" s="155" t="s">
        <v>1021</v>
      </c>
      <c r="I590" s="27">
        <v>1</v>
      </c>
    </row>
    <row r="591" spans="2:9" ht="19.5" customHeight="1" x14ac:dyDescent="0.55000000000000004">
      <c r="B591" s="32"/>
      <c r="C591" s="32"/>
      <c r="D591" s="143"/>
      <c r="E591" s="13"/>
      <c r="F591" s="111"/>
      <c r="G591" s="32"/>
      <c r="H591" s="153"/>
      <c r="I591" s="32"/>
    </row>
    <row r="592" spans="2:9" ht="20.25" customHeight="1" x14ac:dyDescent="0.55000000000000004">
      <c r="B592" s="27">
        <v>293</v>
      </c>
      <c r="C592" s="136" t="s">
        <v>237</v>
      </c>
      <c r="D592" s="144" t="s">
        <v>907</v>
      </c>
      <c r="E592" s="18" t="s">
        <v>908</v>
      </c>
      <c r="F592" s="92">
        <f>81648*1.07</f>
        <v>87363.36</v>
      </c>
      <c r="G592" s="138">
        <v>242880</v>
      </c>
      <c r="H592" s="159" t="s">
        <v>909</v>
      </c>
      <c r="I592" s="27">
        <v>1</v>
      </c>
    </row>
    <row r="593" spans="2:9" ht="26.25" customHeight="1" x14ac:dyDescent="0.55000000000000004">
      <c r="B593" s="32"/>
      <c r="C593" s="70"/>
      <c r="D593" s="144" t="s">
        <v>910</v>
      </c>
      <c r="E593" s="13" t="s">
        <v>734</v>
      </c>
      <c r="F593" s="111"/>
      <c r="G593" s="32"/>
      <c r="H593" s="160"/>
      <c r="I593" s="32"/>
    </row>
    <row r="594" spans="2:9" ht="22.5" customHeight="1" x14ac:dyDescent="0.55000000000000004">
      <c r="B594" s="27">
        <v>294</v>
      </c>
      <c r="C594" s="72" t="s">
        <v>911</v>
      </c>
      <c r="D594" s="142" t="s">
        <v>912</v>
      </c>
      <c r="E594" s="64" t="s">
        <v>913</v>
      </c>
      <c r="F594" s="30">
        <f>27240*1.07</f>
        <v>29146.800000000003</v>
      </c>
      <c r="G594" s="138">
        <v>242880</v>
      </c>
      <c r="H594" s="159" t="s">
        <v>1022</v>
      </c>
      <c r="I594" s="27">
        <v>1</v>
      </c>
    </row>
    <row r="595" spans="2:9" ht="22.5" customHeight="1" x14ac:dyDescent="0.55000000000000004">
      <c r="B595" s="32"/>
      <c r="C595" s="32"/>
      <c r="D595" s="143"/>
      <c r="E595" s="65" t="s">
        <v>805</v>
      </c>
      <c r="F595" s="66"/>
      <c r="G595" s="32"/>
      <c r="H595" s="160"/>
      <c r="I595" s="32"/>
    </row>
    <row r="596" spans="2:9" ht="21" customHeight="1" x14ac:dyDescent="0.55000000000000004">
      <c r="B596" s="27">
        <v>295</v>
      </c>
      <c r="C596" s="72" t="s">
        <v>121</v>
      </c>
      <c r="D596" s="142" t="s">
        <v>914</v>
      </c>
      <c r="E596" s="18" t="s">
        <v>915</v>
      </c>
      <c r="F596" s="30">
        <f>16640*1.07</f>
        <v>17804.8</v>
      </c>
      <c r="G596" s="138">
        <v>242880</v>
      </c>
      <c r="H596" s="159" t="s">
        <v>916</v>
      </c>
      <c r="I596" s="27">
        <v>1</v>
      </c>
    </row>
    <row r="597" spans="2:9" ht="21.75" customHeight="1" x14ac:dyDescent="0.55000000000000004">
      <c r="B597" s="32"/>
      <c r="C597" s="32"/>
      <c r="D597" s="143"/>
      <c r="E597" s="65" t="s">
        <v>917</v>
      </c>
      <c r="F597" s="66"/>
      <c r="G597" s="32"/>
      <c r="H597" s="160"/>
      <c r="I597" s="32"/>
    </row>
    <row r="598" spans="2:9" ht="22.5" customHeight="1" x14ac:dyDescent="0.55000000000000004">
      <c r="B598" s="27">
        <v>296</v>
      </c>
      <c r="C598" s="72" t="s">
        <v>773</v>
      </c>
      <c r="D598" s="142" t="s">
        <v>918</v>
      </c>
      <c r="E598" s="18" t="s">
        <v>919</v>
      </c>
      <c r="F598" s="30">
        <f>26280*1.07</f>
        <v>28119.600000000002</v>
      </c>
      <c r="G598" s="138">
        <v>242880</v>
      </c>
      <c r="H598" s="159" t="s">
        <v>920</v>
      </c>
      <c r="I598" s="27">
        <v>1</v>
      </c>
    </row>
    <row r="599" spans="2:9" ht="22.5" customHeight="1" x14ac:dyDescent="0.55000000000000004">
      <c r="B599" s="32"/>
      <c r="C599" s="32"/>
      <c r="D599" s="143"/>
      <c r="E599" s="13" t="s">
        <v>921</v>
      </c>
      <c r="F599" s="66"/>
      <c r="G599" s="32"/>
      <c r="H599" s="160"/>
      <c r="I599" s="32"/>
    </row>
    <row r="600" spans="2:9" ht="22.5" customHeight="1" x14ac:dyDescent="0.55000000000000004">
      <c r="B600" s="27">
        <v>297</v>
      </c>
      <c r="C600" s="72" t="s">
        <v>71</v>
      </c>
      <c r="D600" s="142" t="s">
        <v>664</v>
      </c>
      <c r="E600" s="18" t="s">
        <v>922</v>
      </c>
      <c r="F600" s="30">
        <f>4000*1.07</f>
        <v>4280</v>
      </c>
      <c r="G600" s="138">
        <v>242880</v>
      </c>
      <c r="H600" s="159" t="s">
        <v>923</v>
      </c>
      <c r="I600" s="27">
        <v>1</v>
      </c>
    </row>
    <row r="601" spans="2:9" ht="15.75" customHeight="1" x14ac:dyDescent="0.55000000000000004">
      <c r="B601" s="32"/>
      <c r="C601" s="32"/>
      <c r="D601" s="143"/>
      <c r="E601" s="13" t="s">
        <v>822</v>
      </c>
      <c r="F601" s="66"/>
      <c r="G601" s="32"/>
      <c r="H601" s="160"/>
      <c r="I601" s="32"/>
    </row>
    <row r="602" spans="2:9" ht="22.5" customHeight="1" x14ac:dyDescent="0.55000000000000004">
      <c r="B602" s="27">
        <v>298</v>
      </c>
      <c r="C602" s="72" t="s">
        <v>336</v>
      </c>
      <c r="D602" s="137" t="s">
        <v>847</v>
      </c>
      <c r="E602" s="18" t="s">
        <v>1062</v>
      </c>
      <c r="F602" s="30">
        <f>89250*1.07</f>
        <v>95497.5</v>
      </c>
      <c r="G602" s="138">
        <v>242881</v>
      </c>
      <c r="H602" s="159" t="s">
        <v>924</v>
      </c>
      <c r="I602" s="27">
        <v>1</v>
      </c>
    </row>
    <row r="603" spans="2:9" ht="15" customHeight="1" x14ac:dyDescent="0.55000000000000004">
      <c r="B603" s="32"/>
      <c r="C603" s="32"/>
      <c r="D603" s="69"/>
      <c r="E603" s="13" t="s">
        <v>925</v>
      </c>
      <c r="F603" s="66"/>
      <c r="G603" s="32"/>
      <c r="H603" s="160"/>
      <c r="I603" s="32"/>
    </row>
    <row r="604" spans="2:9" ht="22.5" customHeight="1" x14ac:dyDescent="0.55000000000000004">
      <c r="B604" s="27">
        <v>299</v>
      </c>
      <c r="C604" s="72" t="s">
        <v>828</v>
      </c>
      <c r="D604" s="142" t="s">
        <v>926</v>
      </c>
      <c r="E604" s="18" t="s">
        <v>927</v>
      </c>
      <c r="F604" s="30">
        <f>38000*1.07</f>
        <v>40660</v>
      </c>
      <c r="G604" s="138">
        <v>242881</v>
      </c>
      <c r="H604" s="159" t="s">
        <v>928</v>
      </c>
      <c r="I604" s="27">
        <v>1</v>
      </c>
    </row>
    <row r="605" spans="2:9" ht="17.25" customHeight="1" x14ac:dyDescent="0.55000000000000004">
      <c r="B605" s="32"/>
      <c r="C605" s="32"/>
      <c r="D605" s="143"/>
      <c r="E605" s="13"/>
      <c r="F605" s="66"/>
      <c r="G605" s="66"/>
      <c r="H605" s="160"/>
      <c r="I605" s="66"/>
    </row>
    <row r="606" spans="2:9" ht="22.5" customHeight="1" x14ac:dyDescent="0.55000000000000004">
      <c r="B606" s="27">
        <v>300</v>
      </c>
      <c r="C606" s="72" t="s">
        <v>929</v>
      </c>
      <c r="D606" s="142" t="s">
        <v>930</v>
      </c>
      <c r="E606" s="18" t="s">
        <v>931</v>
      </c>
      <c r="F606" s="30">
        <f>23000*1.07</f>
        <v>24610</v>
      </c>
      <c r="G606" s="138">
        <v>242881</v>
      </c>
      <c r="H606" s="159" t="s">
        <v>932</v>
      </c>
      <c r="I606" s="27">
        <v>1</v>
      </c>
    </row>
    <row r="607" spans="2:9" ht="21" customHeight="1" x14ac:dyDescent="0.55000000000000004">
      <c r="B607" s="32"/>
      <c r="C607" s="32"/>
      <c r="D607" s="143"/>
      <c r="E607" s="13" t="s">
        <v>822</v>
      </c>
      <c r="F607" s="66"/>
      <c r="G607" s="32"/>
      <c r="H607" s="160"/>
      <c r="I607" s="32"/>
    </row>
    <row r="608" spans="2:9" ht="22.5" customHeight="1" x14ac:dyDescent="0.55000000000000004">
      <c r="B608" s="27">
        <v>301</v>
      </c>
      <c r="C608" s="72" t="s">
        <v>464</v>
      </c>
      <c r="D608" s="142" t="s">
        <v>933</v>
      </c>
      <c r="E608" s="18" t="s">
        <v>934</v>
      </c>
      <c r="F608" s="30">
        <f>20350*1.07</f>
        <v>21774.5</v>
      </c>
      <c r="G608" s="138">
        <v>242881</v>
      </c>
      <c r="H608" s="159" t="s">
        <v>935</v>
      </c>
      <c r="I608" s="27">
        <v>1</v>
      </c>
    </row>
    <row r="609" spans="2:10" ht="20.25" customHeight="1" x14ac:dyDescent="0.55000000000000004">
      <c r="B609" s="32"/>
      <c r="C609" s="32"/>
      <c r="D609" s="143"/>
      <c r="E609" s="13" t="s">
        <v>822</v>
      </c>
      <c r="F609" s="66"/>
      <c r="G609" s="32"/>
      <c r="H609" s="160"/>
      <c r="I609" s="32"/>
    </row>
    <row r="610" spans="2:10" ht="22.5" customHeight="1" x14ac:dyDescent="0.55000000000000004">
      <c r="B610" s="27">
        <v>302</v>
      </c>
      <c r="C610" s="72" t="s">
        <v>936</v>
      </c>
      <c r="D610" s="142" t="s">
        <v>937</v>
      </c>
      <c r="E610" s="18" t="s">
        <v>938</v>
      </c>
      <c r="F610" s="30">
        <f>2250*1.07</f>
        <v>2407.5</v>
      </c>
      <c r="G610" s="138">
        <v>242881</v>
      </c>
      <c r="H610" s="157" t="s">
        <v>939</v>
      </c>
      <c r="I610" s="27">
        <v>1</v>
      </c>
    </row>
    <row r="611" spans="2:10" ht="21" customHeight="1" x14ac:dyDescent="0.55000000000000004">
      <c r="B611" s="32"/>
      <c r="C611" s="32"/>
      <c r="D611" s="143"/>
      <c r="E611" s="13" t="s">
        <v>822</v>
      </c>
      <c r="F611" s="66"/>
      <c r="G611" s="32"/>
      <c r="H611" s="158"/>
      <c r="I611" s="32"/>
    </row>
    <row r="612" spans="2:10" ht="20.25" customHeight="1" x14ac:dyDescent="0.55000000000000004">
      <c r="B612" s="27">
        <v>303</v>
      </c>
      <c r="C612" s="72" t="s">
        <v>619</v>
      </c>
      <c r="D612" s="142" t="s">
        <v>940</v>
      </c>
      <c r="E612" s="18" t="s">
        <v>941</v>
      </c>
      <c r="F612" s="30">
        <f>92000*1.07</f>
        <v>98440</v>
      </c>
      <c r="G612" s="138">
        <v>242881</v>
      </c>
      <c r="H612" s="156" t="s">
        <v>942</v>
      </c>
      <c r="I612" s="27">
        <v>1</v>
      </c>
    </row>
    <row r="613" spans="2:10" ht="19.5" customHeight="1" x14ac:dyDescent="0.55000000000000004">
      <c r="B613" s="32"/>
      <c r="C613" s="32"/>
      <c r="D613" s="143"/>
      <c r="E613" s="13" t="s">
        <v>943</v>
      </c>
      <c r="F613" s="66"/>
      <c r="G613" s="32"/>
      <c r="H613" s="160"/>
      <c r="I613" s="32"/>
    </row>
    <row r="614" spans="2:10" ht="22.5" customHeight="1" x14ac:dyDescent="0.55000000000000004">
      <c r="B614" s="27">
        <v>304</v>
      </c>
      <c r="C614" s="72" t="s">
        <v>773</v>
      </c>
      <c r="D614" s="142" t="s">
        <v>944</v>
      </c>
      <c r="E614" s="18" t="s">
        <v>945</v>
      </c>
      <c r="F614" s="30">
        <f>37035*1.07</f>
        <v>39627.450000000004</v>
      </c>
      <c r="G614" s="138">
        <v>242884</v>
      </c>
      <c r="H614" s="155" t="s">
        <v>946</v>
      </c>
      <c r="I614" s="27">
        <v>1</v>
      </c>
    </row>
    <row r="615" spans="2:10" ht="20.25" customHeight="1" x14ac:dyDescent="0.55000000000000004">
      <c r="B615" s="32"/>
      <c r="C615" s="32"/>
      <c r="D615" s="143"/>
      <c r="E615" s="13" t="s">
        <v>947</v>
      </c>
      <c r="F615" s="66"/>
      <c r="G615" s="32"/>
      <c r="H615" s="153"/>
      <c r="I615" s="32"/>
    </row>
    <row r="616" spans="2:10" ht="22.5" customHeight="1" x14ac:dyDescent="0.55000000000000004">
      <c r="B616" s="27">
        <v>305</v>
      </c>
      <c r="C616" s="136" t="s">
        <v>72</v>
      </c>
      <c r="D616" s="144" t="s">
        <v>948</v>
      </c>
      <c r="E616" s="18" t="s">
        <v>949</v>
      </c>
      <c r="F616" s="30">
        <f>84060*1.07</f>
        <v>89944.200000000012</v>
      </c>
      <c r="G616" s="138">
        <v>242884</v>
      </c>
      <c r="H616" s="155" t="s">
        <v>950</v>
      </c>
      <c r="I616" s="27">
        <v>1</v>
      </c>
    </row>
    <row r="617" spans="2:10" ht="14.25" customHeight="1" x14ac:dyDescent="0.55000000000000004">
      <c r="B617" s="32"/>
      <c r="C617" s="32"/>
      <c r="D617" s="143"/>
      <c r="E617" s="38"/>
      <c r="F617" s="66"/>
      <c r="G617" s="32"/>
      <c r="H617" s="153"/>
      <c r="I617" s="32"/>
    </row>
    <row r="618" spans="2:10" ht="21" customHeight="1" x14ac:dyDescent="0.55000000000000004">
      <c r="B618" s="27">
        <v>306</v>
      </c>
      <c r="C618" s="72" t="s">
        <v>951</v>
      </c>
      <c r="D618" s="142" t="s">
        <v>952</v>
      </c>
      <c r="E618" s="18" t="s">
        <v>953</v>
      </c>
      <c r="F618" s="30">
        <f>70219*1.07</f>
        <v>75134.33</v>
      </c>
      <c r="G618" s="138">
        <v>242884</v>
      </c>
      <c r="H618" s="155" t="s">
        <v>1025</v>
      </c>
      <c r="I618" s="27">
        <v>1</v>
      </c>
    </row>
    <row r="619" spans="2:10" ht="18.75" customHeight="1" x14ac:dyDescent="0.55000000000000004">
      <c r="B619" s="32"/>
      <c r="C619" s="32"/>
      <c r="D619" s="143"/>
      <c r="E619" s="13" t="s">
        <v>822</v>
      </c>
      <c r="F619" s="111"/>
      <c r="G619" s="32"/>
      <c r="H619" s="153"/>
      <c r="I619" s="32"/>
    </row>
    <row r="620" spans="2:10" ht="22.5" customHeight="1" x14ac:dyDescent="0.55000000000000004">
      <c r="B620" s="27">
        <v>307</v>
      </c>
      <c r="C620" s="72" t="s">
        <v>702</v>
      </c>
      <c r="D620" s="142" t="s">
        <v>16</v>
      </c>
      <c r="E620" s="18" t="s">
        <v>954</v>
      </c>
      <c r="F620" s="30">
        <f>1182*1.07</f>
        <v>1264.74</v>
      </c>
      <c r="G620" s="138">
        <v>242884</v>
      </c>
      <c r="H620" s="155" t="s">
        <v>1024</v>
      </c>
      <c r="I620" s="27">
        <v>1</v>
      </c>
    </row>
    <row r="621" spans="2:10" ht="16.5" customHeight="1" x14ac:dyDescent="0.55000000000000004">
      <c r="B621" s="32"/>
      <c r="C621" s="32"/>
      <c r="D621" s="143"/>
      <c r="E621" s="13" t="s">
        <v>786</v>
      </c>
      <c r="F621" s="111"/>
      <c r="G621" s="70"/>
      <c r="H621" s="153"/>
      <c r="I621" s="32"/>
    </row>
    <row r="622" spans="2:10" ht="22.5" customHeight="1" x14ac:dyDescent="0.55000000000000004">
      <c r="B622" s="27">
        <v>308</v>
      </c>
      <c r="C622" s="72" t="s">
        <v>955</v>
      </c>
      <c r="D622" s="142" t="s">
        <v>956</v>
      </c>
      <c r="E622" s="18" t="s">
        <v>957</v>
      </c>
      <c r="F622" s="81">
        <f>747.66*1.07</f>
        <v>799.99620000000004</v>
      </c>
      <c r="G622" s="138">
        <v>242884</v>
      </c>
      <c r="H622" s="157" t="s">
        <v>1023</v>
      </c>
      <c r="I622" s="27">
        <v>1</v>
      </c>
      <c r="J622" s="233">
        <f>SUM(F426:F622)</f>
        <v>2981337.5653000004</v>
      </c>
    </row>
    <row r="623" spans="2:10" ht="19.5" customHeight="1" x14ac:dyDescent="0.55000000000000004">
      <c r="B623" s="32"/>
      <c r="C623" s="32"/>
      <c r="D623" s="143"/>
      <c r="E623" s="13" t="s">
        <v>822</v>
      </c>
      <c r="F623" s="100"/>
      <c r="G623" s="209"/>
      <c r="H623" s="160"/>
      <c r="I623" s="32"/>
    </row>
    <row r="624" spans="2:10" ht="22.5" customHeight="1" x14ac:dyDescent="0.55000000000000004">
      <c r="F624" s="182">
        <v>11327063.27</v>
      </c>
      <c r="H624" s="10"/>
      <c r="J624" s="233"/>
    </row>
    <row r="625" spans="6:6" x14ac:dyDescent="0.55000000000000004">
      <c r="F625" s="232"/>
    </row>
    <row r="627" spans="6:6" x14ac:dyDescent="0.55000000000000004">
      <c r="F627" s="233"/>
    </row>
  </sheetData>
  <mergeCells count="4">
    <mergeCell ref="B1:I1"/>
    <mergeCell ref="B2:I2"/>
    <mergeCell ref="B3:I3"/>
    <mergeCell ref="G5:H5"/>
  </mergeCells>
  <pageMargins left="0.31496062992125984" right="0.31496062992125984" top="0.15748031496062992" bottom="0.15748031496062992" header="0.31496062992125984" footer="0.31496062992125984"/>
  <pageSetup paperSize="9" scale="67" fitToHeight="0" orientation="landscape" r:id="rId1"/>
  <rowBreaks count="18" manualBreakCount="18">
    <brk id="38" min="1" max="8" man="1"/>
    <brk id="74" min="1" max="8" man="1"/>
    <brk id="108" min="1" max="8" man="1"/>
    <brk id="142" min="1" max="8" man="1"/>
    <brk id="176" min="1" max="8" man="1"/>
    <brk id="210" min="1" max="8" man="1"/>
    <brk id="244" min="1" max="8" man="1"/>
    <brk id="278" min="1" max="8" man="1"/>
    <brk id="312" min="1" max="8" man="1"/>
    <brk id="348" min="1" max="8" man="1"/>
    <brk id="382" min="1" max="8" man="1"/>
    <brk id="417" min="1" max="8" man="1"/>
    <brk id="451" min="1" max="8" man="1"/>
    <brk id="485" min="1" max="8" man="1"/>
    <brk id="519" min="1" max="8" man="1"/>
    <brk id="557" min="1" max="8" man="1"/>
    <brk id="591" min="1" max="8" man="1"/>
    <brk id="624" min="1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"/>
  <sheetViews>
    <sheetView workbookViewId="0">
      <selection activeCell="C12" sqref="C12"/>
    </sheetView>
  </sheetViews>
  <sheetFormatPr defaultRowHeight="14.25" x14ac:dyDescent="0.2"/>
  <cols>
    <col min="1" max="1" width="43.375" customWidth="1"/>
    <col min="2" max="2" width="27.75" customWidth="1"/>
    <col min="3" max="3" width="39.125" customWidth="1"/>
  </cols>
  <sheetData>
    <row r="1" spans="1:3" ht="123.75" customHeight="1" x14ac:dyDescent="0.2">
      <c r="A1" s="248" t="s">
        <v>1072</v>
      </c>
      <c r="B1" s="249"/>
      <c r="C1" s="249"/>
    </row>
    <row r="2" spans="1:3" ht="61.5" x14ac:dyDescent="0.2">
      <c r="A2" s="238" t="s">
        <v>1066</v>
      </c>
      <c r="B2" s="238" t="s">
        <v>1067</v>
      </c>
      <c r="C2" s="239" t="s">
        <v>1068</v>
      </c>
    </row>
    <row r="3" spans="1:3" ht="30.75" x14ac:dyDescent="0.7">
      <c r="A3" s="236" t="s">
        <v>1069</v>
      </c>
      <c r="B3" s="236">
        <v>60</v>
      </c>
      <c r="C3" s="237">
        <v>2407263.9580000006</v>
      </c>
    </row>
    <row r="4" spans="1:3" ht="30.75" x14ac:dyDescent="0.7">
      <c r="A4" s="236" t="s">
        <v>1070</v>
      </c>
      <c r="B4" s="236">
        <v>149</v>
      </c>
      <c r="C4" s="237">
        <v>5938461.7400000012</v>
      </c>
    </row>
    <row r="5" spans="1:3" ht="30.75" x14ac:dyDescent="0.7">
      <c r="A5" s="236" t="s">
        <v>1071</v>
      </c>
      <c r="B5" s="236">
        <v>99</v>
      </c>
      <c r="C5" s="237">
        <v>2981337.5653000004</v>
      </c>
    </row>
    <row r="6" spans="1:3" ht="30.75" x14ac:dyDescent="0.7">
      <c r="A6" s="241" t="s">
        <v>1073</v>
      </c>
      <c r="B6" s="240">
        <v>308</v>
      </c>
      <c r="C6" s="242">
        <v>11327063.27</v>
      </c>
    </row>
    <row r="7" spans="1:3" ht="30.75" x14ac:dyDescent="0.7">
      <c r="A7" s="241" t="s">
        <v>1074</v>
      </c>
      <c r="B7" s="250" t="s">
        <v>1075</v>
      </c>
      <c r="C7" s="250"/>
    </row>
  </sheetData>
  <mergeCells count="2">
    <mergeCell ref="A1:C1"/>
    <mergeCell ref="B7:C7"/>
  </mergeCells>
  <pageMargins left="0.7" right="0.7" top="0.75" bottom="0.75" header="0.3" footer="0.3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ไตรมาส1</vt:lpstr>
      <vt:lpstr>เอกสารแนบท้าย</vt:lpstr>
      <vt:lpstr>ไตรมาส1!Print_Area</vt:lpstr>
      <vt:lpstr>ไตรมาส1!Print_Titles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อุษา จันทนชัย</dc:creator>
  <cp:lastModifiedBy>Sorapong Wongsiri</cp:lastModifiedBy>
  <cp:lastPrinted>2022-01-10T07:59:43Z</cp:lastPrinted>
  <dcterms:created xsi:type="dcterms:W3CDTF">2020-03-30T01:17:17Z</dcterms:created>
  <dcterms:modified xsi:type="dcterms:W3CDTF">2022-01-12T00:51:25Z</dcterms:modified>
</cp:coreProperties>
</file>